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11760" activeTab="0"/>
  </bookViews>
  <sheets>
    <sheet name="форма 2п new" sheetId="1" r:id="rId1"/>
  </sheets>
  <definedNames>
    <definedName name="_xlnm.Print_Titles" localSheetId="0">'форма 2п new'!$6:$8</definedName>
    <definedName name="_xlnm.Print_Area" localSheetId="0">'форма 2п new'!$A$1:$M$119</definedName>
    <definedName name="Регионы">#REF!</definedName>
  </definedNames>
  <calcPr fullCalcOnLoad="1" iterate="1" iterateCount="100" iterateDelta="1E-09"/>
</workbook>
</file>

<file path=xl/sharedStrings.xml><?xml version="1.0" encoding="utf-8"?>
<sst xmlns="http://schemas.openxmlformats.org/spreadsheetml/2006/main" count="332" uniqueCount="260">
  <si>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</si>
  <si>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</si>
  <si>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</si>
  <si>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</si>
  <si>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</si>
  <si>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</si>
  <si>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</si>
  <si>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</si>
  <si>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</si>
  <si>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</si>
  <si>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</si>
  <si>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</si>
  <si>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</si>
  <si>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</si>
  <si>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</si>
  <si>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</si>
  <si>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</si>
  <si>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</si>
  <si>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</si>
  <si>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</si>
  <si>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</si>
  <si>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</si>
  <si>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млн.руб.</t>
  </si>
  <si>
    <t>Денежные доходы населения</t>
  </si>
  <si>
    <t xml:space="preserve"> 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</si>
  <si>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</si>
  <si>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</si>
  <si>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</si>
  <si>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</si>
  <si>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</si>
  <si>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</si>
  <si>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</si>
  <si>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</si>
  <si>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</si>
  <si>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</si>
  <si>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</si>
  <si>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</si>
  <si>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</si>
  <si>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</si>
  <si>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</si>
  <si>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</si>
  <si>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</si>
  <si>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</si>
  <si>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</si>
  <si>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</si>
  <si>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базовый</t>
  </si>
  <si>
    <t>консервативный</t>
  </si>
  <si>
    <t>1 вариант</t>
  </si>
  <si>
    <t>2 вариант</t>
  </si>
  <si>
    <t>Строительство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</si>
  <si>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</si>
  <si>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</si>
  <si>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</si>
  <si>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</si>
  <si>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</si>
  <si>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</si>
  <si>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</si>
  <si>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% г/г</t>
  </si>
  <si>
    <t xml:space="preserve">Объем отгруженной продукции (работ. услуг) </t>
  </si>
  <si>
    <t>Добыча сырой нефти и природного газа (06)</t>
  </si>
  <si>
    <t>Обрабатывающие производства (раздел С)</t>
  </si>
  <si>
    <t>Производство пищевых продуктов (10)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</si>
  <si>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</si>
  <si>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</si>
  <si>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</si>
  <si>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</si>
  <si>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</si>
  <si>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</si>
  <si>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</si>
  <si>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</si>
  <si>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</si>
  <si>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Количество малых и средних предприятий, включая микропредприятия (на конец года)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</si>
  <si>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</si>
  <si>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</si>
  <si>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</si>
  <si>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</si>
  <si>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</si>
  <si>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</si>
  <si>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</si>
  <si>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</si>
  <si>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Номинальная начисленная среднемесячная заработная плата работников организаций</t>
  </si>
  <si>
    <t>Реальная заработная плата  работников организаций</t>
  </si>
  <si>
    <t>% к раб силе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</si>
  <si>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</si>
  <si>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</si>
  <si>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</si>
  <si>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</si>
  <si>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</si>
  <si>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</si>
  <si>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</si>
  <si>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</si>
  <si>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</si>
  <si>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</si>
  <si>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Труд и занятость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</si>
  <si>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</si>
  <si>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</si>
  <si>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</si>
  <si>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</si>
  <si>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</si>
  <si>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</si>
  <si>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</si>
  <si>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</si>
  <si>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</si>
  <si>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</si>
  <si>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</si>
  <si>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</si>
  <si>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</si>
  <si>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</si>
  <si>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</si>
  <si>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</si>
  <si>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</si>
  <si>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</si>
  <si>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</si>
  <si>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</si>
  <si>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</si>
  <si>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</si>
  <si>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</si>
  <si>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</si>
  <si>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</si>
  <si>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</si>
  <si>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</si>
  <si>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</si>
  <si>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</si>
  <si>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</si>
  <si>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</si>
  <si>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</si>
  <si>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</si>
  <si>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</si>
  <si>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</si>
  <si>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</si>
  <si>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</si>
  <si>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</si>
  <si>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</si>
  <si>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</si>
  <si>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</si>
  <si>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</si>
  <si>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</si>
  <si>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</si>
  <si>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</si>
  <si>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</si>
  <si>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</si>
  <si>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</si>
  <si>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СОБОЛЕВСКИЙ МУНИЦИПАЛЬНЫЙ РАЙОН</t>
  </si>
  <si>
    <t>чел.</t>
  </si>
  <si>
    <t>Индекс физического объема инвестиций в основной капитал</t>
  </si>
  <si>
    <t>Индекс-дефлятор инвестиций в основной капитал</t>
  </si>
  <si>
    <t>Индекс производительности труда</t>
  </si>
  <si>
    <t>Уровень безработицы (по методологии МОТ)</t>
  </si>
  <si>
    <t>Общая численность безработных (по методологии МОТ)</t>
  </si>
  <si>
    <t>Темп роста номинальной начисленной среднемесячной заработной платы работников организаций</t>
  </si>
  <si>
    <t>11.1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</si>
  <si>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</si>
  <si>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</si>
  <si>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</si>
  <si>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</si>
  <si>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</si>
  <si>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</si>
  <si>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</si>
  <si>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</si>
  <si>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</si>
  <si>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</si>
  <si>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</si>
  <si>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</si>
  <si>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</si>
  <si>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</si>
  <si>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</si>
  <si>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</si>
  <si>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</si>
  <si>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</si>
  <si>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</si>
  <si>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</si>
  <si>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</si>
  <si>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</si>
  <si>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</si>
  <si>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</si>
  <si>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</si>
  <si>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</si>
  <si>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</si>
  <si>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</si>
  <si>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</si>
  <si>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</si>
  <si>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</si>
  <si>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</si>
  <si>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</si>
  <si>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</si>
  <si>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</si>
  <si>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</si>
  <si>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</si>
  <si>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</si>
  <si>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</si>
  <si>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</si>
  <si>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</si>
  <si>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</si>
  <si>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</si>
  <si>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</si>
  <si>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</si>
  <si>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</si>
  <si>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</si>
  <si>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</si>
  <si>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11.2</t>
  </si>
  <si>
    <t>12.1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</si>
  <si>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</si>
  <si>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</si>
  <si>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</si>
  <si>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</si>
  <si>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</si>
  <si>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</si>
  <si>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</si>
  <si>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</si>
  <si>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</si>
  <si>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</si>
  <si>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 xml:space="preserve">Основные показатели социально-экономического развития субъекта Российской Федерации на среднесрочный период </t>
  </si>
  <si>
    <t>Индекс физического объема оборота розничной торговл</t>
  </si>
  <si>
    <t>% к предыдущему году
в сопоставимых ценах</t>
  </si>
  <si>
    <t>Индекс-дефлятор оборота розничной торговли</t>
  </si>
  <si>
    <t>млн. рублей</t>
  </si>
  <si>
    <t>10.3.1</t>
  </si>
  <si>
    <t>10.3.2</t>
  </si>
  <si>
    <t>10.3.3</t>
  </si>
  <si>
    <t>10.3.4.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</si>
  <si>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</si>
  <si>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</si>
  <si>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</si>
  <si>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</si>
  <si>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</si>
  <si>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</si>
  <si>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</si>
  <si>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</si>
  <si>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</si>
  <si>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</si>
  <si>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</si>
  <si>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</si>
  <si>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</si>
  <si>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</si>
  <si>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10.6.5.</t>
  </si>
  <si>
    <t>10.6.6.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</si>
  <si>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</si>
  <si>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</si>
  <si>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</si>
  <si>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</si>
  <si>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</si>
  <si>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</si>
  <si>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</si>
  <si>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</si>
  <si>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</si>
  <si>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</si>
  <si>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в % к предыдущему году</t>
  </si>
  <si>
    <t>Уровень зарегистрированной безработицы (на конец года)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</si>
  <si>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</si>
  <si>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 xml:space="preserve"> тыс.чел.</t>
  </si>
  <si>
    <t>Примечание</t>
  </si>
  <si>
    <t>12.13</t>
  </si>
  <si>
    <t>11.3</t>
  </si>
  <si>
    <t>Индексы производства по видам экономической деятельности</t>
  </si>
  <si>
    <t>2021*</t>
  </si>
  <si>
    <t>Индекс физического объема платных услуг населению</t>
  </si>
  <si>
    <t>16 253,2</t>
  </si>
  <si>
    <t>2022*</t>
  </si>
  <si>
    <t>`</t>
  </si>
  <si>
    <t>Численность населения в трудоспособном возрасте, не занятого в экономике – всего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</si>
</sst>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\ _₽"/>
    <numFmt numFmtId="188" formatCode="#,##0\ _₽"/>
    <numFmt numFmtId="189" formatCode="#,##0.0"/>
    <numFmt numFmtId="190" formatCode="0.0000"/>
    <numFmt numFmtId="191" formatCode="0.000"/>
    <numFmt numFmtId="192" formatCode="0.00000"/>
    <numFmt numFmtId="193" formatCode="#,##0.0\ _₽"/>
  </numFmts>
  <fonts count="49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186" fontId="0" fillId="3" borderId="10" xfId="0" applyNumberFormat="1" applyFont="1" applyFill="1" applyBorder="1" applyAlignment="1">
      <alignment/>
    </xf>
    <xf numFmtId="186" fontId="0" fillId="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 applyProtection="1">
      <alignment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 vertical="center" wrapText="1" shrinkToFit="1"/>
      <protection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186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86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3" fillId="3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2" fontId="0" fillId="33" borderId="0" xfId="0" applyNumberFormat="1" applyFill="1" applyAlignment="1">
      <alignment/>
    </xf>
    <xf numFmtId="0" fontId="12" fillId="33" borderId="10" xfId="0" applyFont="1" applyFill="1" applyBorder="1" applyAlignment="1" applyProtection="1">
      <alignment horizontal="left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9" fillId="0" borderId="10" xfId="0" applyNumberFormat="1" applyFont="1" applyFill="1" applyBorder="1" applyAlignment="1">
      <alignment/>
    </xf>
    <xf numFmtId="186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86" fontId="9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 horizontal="right"/>
    </xf>
    <xf numFmtId="18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8" fillId="0" borderId="0" xfId="0" applyNumberFormat="1" applyFont="1" applyFill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0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10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9"/>
  <sheetViews>
    <sheetView tabSelected="1" view="pageBreakPreview" zoomScaleNormal="70" zoomScaleSheetLayoutView="100" zoomScalePageLayoutView="0" workbookViewId="0" topLeftCell="A1">
      <pane xSplit="4" ySplit="10" topLeftCell="E10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57" sqref="H57"/>
    </sheetView>
  </sheetViews>
  <sheetFormatPr defaultColWidth="8.875" defaultRowHeight="12.75"/>
  <cols>
    <col min="1" max="1" width="5.125" style="3" customWidth="1"/>
    <col min="2" max="2" width="10.75390625" style="11" customWidth="1"/>
    <col min="3" max="3" width="69.625" style="3" customWidth="1"/>
    <col min="4" max="4" width="32.25390625" style="3" customWidth="1"/>
    <col min="5" max="13" width="13.75390625" style="3" customWidth="1"/>
    <col min="14" max="16384" width="8.875" style="3" customWidth="1"/>
  </cols>
  <sheetData>
    <row r="1" ht="12.75">
      <c r="C1" s="20"/>
    </row>
    <row r="2" spans="2:13" ht="21" customHeight="1">
      <c r="B2" s="45" t="s">
        <v>211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3:13" ht="20.25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21" customHeight="1">
      <c r="B4" s="45" t="s">
        <v>142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3:9" ht="12.75">
      <c r="C5" s="3" t="s">
        <v>24</v>
      </c>
      <c r="I5" s="29"/>
    </row>
    <row r="6" spans="2:13" ht="18.75">
      <c r="B6" s="50"/>
      <c r="C6" s="37" t="s">
        <v>26</v>
      </c>
      <c r="D6" s="37" t="s">
        <v>27</v>
      </c>
      <c r="E6" s="1" t="s">
        <v>28</v>
      </c>
      <c r="F6" s="2" t="s">
        <v>28</v>
      </c>
      <c r="G6" s="2" t="s">
        <v>29</v>
      </c>
      <c r="H6" s="42" t="s">
        <v>30</v>
      </c>
      <c r="I6" s="43"/>
      <c r="J6" s="43"/>
      <c r="K6" s="43"/>
      <c r="L6" s="43"/>
      <c r="M6" s="44"/>
    </row>
    <row r="7" spans="2:13" ht="22.5" customHeight="1">
      <c r="B7" s="51"/>
      <c r="C7" s="38"/>
      <c r="D7" s="38"/>
      <c r="E7" s="37" t="s">
        <v>254</v>
      </c>
      <c r="F7" s="37" t="s">
        <v>257</v>
      </c>
      <c r="G7" s="37">
        <v>2023</v>
      </c>
      <c r="H7" s="42">
        <v>2024</v>
      </c>
      <c r="I7" s="48"/>
      <c r="J7" s="42">
        <v>2025</v>
      </c>
      <c r="K7" s="48"/>
      <c r="L7" s="42">
        <v>2026</v>
      </c>
      <c r="M7" s="49"/>
    </row>
    <row r="8" spans="2:13" ht="37.5">
      <c r="B8" s="51"/>
      <c r="C8" s="38"/>
      <c r="D8" s="38"/>
      <c r="E8" s="38"/>
      <c r="F8" s="38"/>
      <c r="G8" s="38"/>
      <c r="H8" s="1" t="s">
        <v>46</v>
      </c>
      <c r="I8" s="1" t="s">
        <v>45</v>
      </c>
      <c r="J8" s="1" t="s">
        <v>46</v>
      </c>
      <c r="K8" s="1" t="s">
        <v>45</v>
      </c>
      <c r="L8" s="1" t="s">
        <v>46</v>
      </c>
      <c r="M8" s="1" t="s">
        <v>45</v>
      </c>
    </row>
    <row r="9" spans="2:13" ht="37.5">
      <c r="B9" s="51"/>
      <c r="C9" s="39"/>
      <c r="D9" s="39"/>
      <c r="E9" s="39"/>
      <c r="F9" s="39"/>
      <c r="G9" s="39"/>
      <c r="H9" s="1" t="s">
        <v>47</v>
      </c>
      <c r="I9" s="1" t="s">
        <v>48</v>
      </c>
      <c r="J9" s="1" t="s">
        <v>47</v>
      </c>
      <c r="K9" s="1" t="s">
        <v>48</v>
      </c>
      <c r="L9" s="1" t="s">
        <v>47</v>
      </c>
      <c r="M9" s="1" t="s">
        <v>48</v>
      </c>
    </row>
    <row r="10" spans="2:13" ht="18.75">
      <c r="B10" s="12" t="s">
        <v>136</v>
      </c>
      <c r="C10" s="5" t="s">
        <v>2</v>
      </c>
      <c r="D10" s="5"/>
      <c r="E10" s="9"/>
      <c r="F10" s="9"/>
      <c r="G10" s="9"/>
      <c r="H10" s="10"/>
      <c r="I10" s="10"/>
      <c r="J10" s="10"/>
      <c r="K10" s="10"/>
      <c r="L10" s="10"/>
      <c r="M10" s="10"/>
    </row>
    <row r="11" spans="2:13" s="20" customFormat="1" ht="18.75">
      <c r="B11" s="32" t="s">
        <v>151</v>
      </c>
      <c r="C11" s="22" t="s">
        <v>50</v>
      </c>
      <c r="D11" s="19" t="s">
        <v>31</v>
      </c>
      <c r="E11" s="52">
        <v>2.443</v>
      </c>
      <c r="F11" s="52">
        <v>2.484</v>
      </c>
      <c r="G11" s="52">
        <v>1.988</v>
      </c>
      <c r="H11" s="52">
        <f>G11*99.5%</f>
        <v>1.97806</v>
      </c>
      <c r="I11" s="52">
        <f>G11*100.75%</f>
        <v>2.00291</v>
      </c>
      <c r="J11" s="52">
        <f>H11*99.8%</f>
        <v>1.97410388</v>
      </c>
      <c r="K11" s="52">
        <f>I11*100.3%</f>
        <v>2.0089187299999995</v>
      </c>
      <c r="L11" s="52">
        <f>J11*99.9%</f>
        <v>1.97212977612</v>
      </c>
      <c r="M11" s="52">
        <f>K11*100.4%</f>
        <v>2.0169544049199994</v>
      </c>
    </row>
    <row r="12" spans="2:13" s="20" customFormat="1" ht="24.75" customHeight="1">
      <c r="B12" s="32" t="s">
        <v>152</v>
      </c>
      <c r="C12" s="24" t="s">
        <v>51</v>
      </c>
      <c r="D12" s="19" t="s">
        <v>31</v>
      </c>
      <c r="E12" s="52">
        <v>1.438</v>
      </c>
      <c r="F12" s="52">
        <v>1.468</v>
      </c>
      <c r="G12" s="52">
        <v>1.197</v>
      </c>
      <c r="H12" s="52">
        <f>G12*95.3%</f>
        <v>1.140741</v>
      </c>
      <c r="I12" s="52">
        <f>G12*95.7%</f>
        <v>1.1455290000000002</v>
      </c>
      <c r="J12" s="52">
        <f>H12*98.2%</f>
        <v>1.1202076619999999</v>
      </c>
      <c r="K12" s="52">
        <f>I12*98.1%</f>
        <v>1.1237639490000002</v>
      </c>
      <c r="L12" s="52">
        <f>J12*97.9%</f>
        <v>1.096683301098</v>
      </c>
      <c r="M12" s="52">
        <f>K12*98.1%</f>
        <v>1.1024124339690002</v>
      </c>
    </row>
    <row r="13" spans="2:13" s="20" customFormat="1" ht="37.5">
      <c r="B13" s="32" t="s">
        <v>153</v>
      </c>
      <c r="C13" s="24" t="s">
        <v>52</v>
      </c>
      <c r="D13" s="19" t="s">
        <v>31</v>
      </c>
      <c r="E13" s="52">
        <v>0.656</v>
      </c>
      <c r="F13" s="52">
        <v>0.632</v>
      </c>
      <c r="G13" s="52">
        <v>0.502</v>
      </c>
      <c r="H13" s="52">
        <f>G13*95.8%</f>
        <v>0.480916</v>
      </c>
      <c r="I13" s="52">
        <f>G13*95.8%</f>
        <v>0.480916</v>
      </c>
      <c r="J13" s="52">
        <f>H13*98.1%</f>
        <v>0.471778596</v>
      </c>
      <c r="K13" s="52">
        <f>I13*98.1%</f>
        <v>0.471778596</v>
      </c>
      <c r="L13" s="52">
        <f>J13*98.1%</f>
        <v>0.462814802676</v>
      </c>
      <c r="M13" s="52">
        <f>K13*98.1%</f>
        <v>0.462814802676</v>
      </c>
    </row>
    <row r="14" spans="2:13" s="20" customFormat="1" ht="18" customHeight="1">
      <c r="B14" s="32" t="s">
        <v>154</v>
      </c>
      <c r="C14" s="22" t="s">
        <v>33</v>
      </c>
      <c r="D14" s="19" t="s">
        <v>34</v>
      </c>
      <c r="E14" s="53">
        <v>70</v>
      </c>
      <c r="F14" s="53">
        <v>70</v>
      </c>
      <c r="G14" s="53">
        <v>70</v>
      </c>
      <c r="H14" s="53">
        <v>70</v>
      </c>
      <c r="I14" s="53">
        <v>70</v>
      </c>
      <c r="J14" s="53">
        <v>70</v>
      </c>
      <c r="K14" s="53">
        <v>70</v>
      </c>
      <c r="L14" s="53">
        <v>70</v>
      </c>
      <c r="M14" s="53">
        <v>70</v>
      </c>
    </row>
    <row r="15" spans="2:13" s="20" customFormat="1" ht="37.5">
      <c r="B15" s="32" t="s">
        <v>155</v>
      </c>
      <c r="C15" s="22" t="s">
        <v>35</v>
      </c>
      <c r="D15" s="19" t="s">
        <v>36</v>
      </c>
      <c r="E15" s="53">
        <v>5.3</v>
      </c>
      <c r="F15" s="53">
        <v>5.6</v>
      </c>
      <c r="G15" s="53">
        <v>7.5</v>
      </c>
      <c r="H15" s="53">
        <f>G15*92.7%</f>
        <v>6.952500000000001</v>
      </c>
      <c r="I15" s="53">
        <f>G15*103.1%</f>
        <v>7.732499999999999</v>
      </c>
      <c r="J15" s="53">
        <f>H15*98.8%</f>
        <v>6.869070000000001</v>
      </c>
      <c r="K15" s="53">
        <f>I15*103%</f>
        <v>7.964474999999999</v>
      </c>
      <c r="L15" s="53">
        <f>J15*98.8%</f>
        <v>6.78664116</v>
      </c>
      <c r="M15" s="53">
        <f>K15*100%</f>
        <v>7.964474999999999</v>
      </c>
    </row>
    <row r="16" spans="2:13" s="20" customFormat="1" ht="37.5">
      <c r="B16" s="32" t="s">
        <v>156</v>
      </c>
      <c r="C16" s="22" t="s">
        <v>53</v>
      </c>
      <c r="D16" s="19" t="s">
        <v>54</v>
      </c>
      <c r="E16" s="54">
        <v>0.42</v>
      </c>
      <c r="F16" s="54">
        <v>0.44</v>
      </c>
      <c r="G16" s="54">
        <v>0.47</v>
      </c>
      <c r="H16" s="54">
        <f>G16*100.5%</f>
        <v>0.47234999999999994</v>
      </c>
      <c r="I16" s="54">
        <f>F16*101.06%</f>
        <v>0.444664</v>
      </c>
      <c r="J16" s="54">
        <f>H16*100.6%</f>
        <v>0.47518409999999994</v>
      </c>
      <c r="K16" s="54">
        <f>I16*101.06%</f>
        <v>0.4493774384</v>
      </c>
      <c r="L16" s="54">
        <f>J16*100.5%</f>
        <v>0.4775600204999999</v>
      </c>
      <c r="M16" s="54">
        <f>K16*101.06%</f>
        <v>0.45414083924703996</v>
      </c>
    </row>
    <row r="17" spans="2:13" s="20" customFormat="1" ht="37.5">
      <c r="B17" s="32" t="s">
        <v>157</v>
      </c>
      <c r="C17" s="22" t="s">
        <v>37</v>
      </c>
      <c r="D17" s="19" t="s">
        <v>38</v>
      </c>
      <c r="E17" s="53">
        <v>18.4</v>
      </c>
      <c r="F17" s="53">
        <v>11.7</v>
      </c>
      <c r="G17" s="53">
        <v>11</v>
      </c>
      <c r="H17" s="53">
        <v>11.1</v>
      </c>
      <c r="I17" s="53">
        <v>11.1</v>
      </c>
      <c r="J17" s="53">
        <v>11.1</v>
      </c>
      <c r="K17" s="53">
        <v>11.1</v>
      </c>
      <c r="L17" s="53">
        <v>11.1</v>
      </c>
      <c r="M17" s="53">
        <v>11.1</v>
      </c>
    </row>
    <row r="18" spans="2:13" s="20" customFormat="1" ht="37.5">
      <c r="B18" s="32" t="s">
        <v>158</v>
      </c>
      <c r="C18" s="22" t="s">
        <v>39</v>
      </c>
      <c r="D18" s="19" t="s">
        <v>40</v>
      </c>
      <c r="E18" s="53">
        <f>E15-E17</f>
        <v>-13.099999999999998</v>
      </c>
      <c r="F18" s="53">
        <f aca="true" t="shared" si="0" ref="F18:M18">F15-F17</f>
        <v>-6.1</v>
      </c>
      <c r="G18" s="53">
        <f t="shared" si="0"/>
        <v>-3.5</v>
      </c>
      <c r="H18" s="53">
        <f t="shared" si="0"/>
        <v>-4.147499999999999</v>
      </c>
      <c r="I18" s="53">
        <f t="shared" si="0"/>
        <v>-3.3675000000000006</v>
      </c>
      <c r="J18" s="53">
        <f t="shared" si="0"/>
        <v>-4.230929999999999</v>
      </c>
      <c r="K18" s="53">
        <f t="shared" si="0"/>
        <v>-3.1355250000000003</v>
      </c>
      <c r="L18" s="53">
        <f t="shared" si="0"/>
        <v>-4.313358839999999</v>
      </c>
      <c r="M18" s="53">
        <f t="shared" si="0"/>
        <v>-3.1355250000000003</v>
      </c>
    </row>
    <row r="19" spans="2:13" s="20" customFormat="1" ht="18.75">
      <c r="B19" s="32" t="s">
        <v>159</v>
      </c>
      <c r="C19" s="22" t="s">
        <v>141</v>
      </c>
      <c r="D19" s="19" t="s">
        <v>143</v>
      </c>
      <c r="E19" s="55">
        <v>28</v>
      </c>
      <c r="F19" s="55">
        <v>20</v>
      </c>
      <c r="G19" s="55">
        <v>12</v>
      </c>
      <c r="H19" s="55">
        <v>11</v>
      </c>
      <c r="I19" s="55">
        <v>11</v>
      </c>
      <c r="J19" s="55">
        <v>16</v>
      </c>
      <c r="K19" s="55">
        <v>16</v>
      </c>
      <c r="L19" s="55">
        <v>21</v>
      </c>
      <c r="M19" s="55">
        <v>21</v>
      </c>
    </row>
    <row r="20" spans="2:13" ht="18.75">
      <c r="B20" s="30" t="s">
        <v>135</v>
      </c>
      <c r="C20" s="5" t="s">
        <v>56</v>
      </c>
      <c r="D20" s="6"/>
      <c r="E20" s="15"/>
      <c r="F20" s="15"/>
      <c r="G20" s="15"/>
      <c r="H20" s="15"/>
      <c r="I20" s="16"/>
      <c r="J20" s="16"/>
      <c r="K20" s="16"/>
      <c r="L20" s="16"/>
      <c r="M20" s="16"/>
    </row>
    <row r="21" spans="2:13" ht="18.75">
      <c r="B21" s="30" t="s">
        <v>134</v>
      </c>
      <c r="C21" s="5" t="s">
        <v>85</v>
      </c>
      <c r="D21" s="7"/>
      <c r="E21" s="15"/>
      <c r="F21" s="15"/>
      <c r="G21" s="15"/>
      <c r="H21" s="15"/>
      <c r="I21" s="16"/>
      <c r="J21" s="16"/>
      <c r="K21" s="16"/>
      <c r="L21" s="16"/>
      <c r="M21" s="16"/>
    </row>
    <row r="22" spans="2:13" s="20" customFormat="1" ht="19.5" customHeight="1">
      <c r="B22" s="33" t="s">
        <v>160</v>
      </c>
      <c r="C22" s="22" t="s">
        <v>58</v>
      </c>
      <c r="D22" s="19" t="s">
        <v>41</v>
      </c>
      <c r="E22" s="53" t="s">
        <v>256</v>
      </c>
      <c r="F22" s="56">
        <v>9457.9</v>
      </c>
      <c r="G22" s="53">
        <v>10744.2</v>
      </c>
      <c r="H22" s="53">
        <f>G22*101.8%</f>
        <v>10937.5956</v>
      </c>
      <c r="I22" s="53">
        <f>G22*103.8%</f>
        <v>11152.4796</v>
      </c>
      <c r="J22" s="53">
        <f>H22*102%</f>
        <v>11156.347512</v>
      </c>
      <c r="K22" s="53">
        <f>I22*103.2%</f>
        <v>11509.3589472</v>
      </c>
      <c r="L22" s="53">
        <f>J22*102.5%</f>
        <v>11435.2561998</v>
      </c>
      <c r="M22" s="53">
        <f>K22*105.1%</f>
        <v>12096.3362535072</v>
      </c>
    </row>
    <row r="23" spans="2:13" s="20" customFormat="1" ht="37.5">
      <c r="B23" s="33" t="s">
        <v>161</v>
      </c>
      <c r="C23" s="22" t="s">
        <v>42</v>
      </c>
      <c r="D23" s="19" t="s">
        <v>11</v>
      </c>
      <c r="E23" s="53">
        <v>122.1</v>
      </c>
      <c r="F23" s="53">
        <v>74.2</v>
      </c>
      <c r="G23" s="53">
        <v>113.6</v>
      </c>
      <c r="H23" s="53">
        <v>101.8</v>
      </c>
      <c r="I23" s="53">
        <v>103.8</v>
      </c>
      <c r="J23" s="53">
        <v>102</v>
      </c>
      <c r="K23" s="53">
        <v>103.2</v>
      </c>
      <c r="L23" s="53">
        <v>102.5</v>
      </c>
      <c r="M23" s="53">
        <v>105.1</v>
      </c>
    </row>
    <row r="24" spans="2:13" s="20" customFormat="1" ht="37.5">
      <c r="B24" s="33"/>
      <c r="C24" s="36" t="s">
        <v>253</v>
      </c>
      <c r="D24" s="19"/>
      <c r="E24" s="53"/>
      <c r="F24" s="53"/>
      <c r="G24" s="53"/>
      <c r="H24" s="53"/>
      <c r="I24" s="53"/>
      <c r="J24" s="53"/>
      <c r="K24" s="53"/>
      <c r="L24" s="53"/>
      <c r="M24" s="53"/>
    </row>
    <row r="25" spans="2:13" s="20" customFormat="1" ht="37.5">
      <c r="B25" s="32" t="s">
        <v>162</v>
      </c>
      <c r="C25" s="23" t="s">
        <v>87</v>
      </c>
      <c r="D25" s="19" t="s">
        <v>11</v>
      </c>
      <c r="E25" s="53">
        <v>166.1</v>
      </c>
      <c r="F25" s="53">
        <v>83.3</v>
      </c>
      <c r="G25" s="53">
        <v>102.4</v>
      </c>
      <c r="H25" s="53">
        <v>94.5</v>
      </c>
      <c r="I25" s="53">
        <v>100</v>
      </c>
      <c r="J25" s="53">
        <v>107.4</v>
      </c>
      <c r="K25" s="53">
        <v>105.3</v>
      </c>
      <c r="L25" s="53">
        <v>115</v>
      </c>
      <c r="M25" s="53">
        <v>115</v>
      </c>
    </row>
    <row r="26" spans="2:13" s="20" customFormat="1" ht="37.5">
      <c r="B26" s="33" t="s">
        <v>163</v>
      </c>
      <c r="C26" s="22" t="s">
        <v>59</v>
      </c>
      <c r="D26" s="19" t="s">
        <v>11</v>
      </c>
      <c r="E26" s="53">
        <v>166.1</v>
      </c>
      <c r="F26" s="53">
        <v>83.3</v>
      </c>
      <c r="G26" s="53">
        <v>102.4</v>
      </c>
      <c r="H26" s="53">
        <v>94.5</v>
      </c>
      <c r="I26" s="53">
        <v>100</v>
      </c>
      <c r="J26" s="53">
        <v>107.4</v>
      </c>
      <c r="K26" s="53">
        <v>105.3</v>
      </c>
      <c r="L26" s="53">
        <v>115</v>
      </c>
      <c r="M26" s="53">
        <v>115</v>
      </c>
    </row>
    <row r="27" spans="2:13" s="20" customFormat="1" ht="37.5">
      <c r="B27" s="32" t="s">
        <v>164</v>
      </c>
      <c r="C27" s="23" t="s">
        <v>60</v>
      </c>
      <c r="D27" s="19" t="s">
        <v>11</v>
      </c>
      <c r="E27" s="53">
        <v>109.5</v>
      </c>
      <c r="F27" s="53">
        <v>53.4</v>
      </c>
      <c r="G27" s="53">
        <v>101.2</v>
      </c>
      <c r="H27" s="53">
        <v>102.4</v>
      </c>
      <c r="I27" s="53">
        <v>104.8</v>
      </c>
      <c r="J27" s="53">
        <v>102.5</v>
      </c>
      <c r="K27" s="53">
        <v>103.6</v>
      </c>
      <c r="L27" s="53">
        <v>102.7</v>
      </c>
      <c r="M27" s="53">
        <v>105.3</v>
      </c>
    </row>
    <row r="28" spans="2:14" s="20" customFormat="1" ht="37.5">
      <c r="B28" s="32" t="s">
        <v>165</v>
      </c>
      <c r="C28" s="22" t="s">
        <v>61</v>
      </c>
      <c r="D28" s="19" t="s">
        <v>11</v>
      </c>
      <c r="E28" s="53">
        <v>109.5</v>
      </c>
      <c r="F28" s="53">
        <v>53.4</v>
      </c>
      <c r="G28" s="53">
        <v>101.2</v>
      </c>
      <c r="H28" s="53">
        <v>102.4</v>
      </c>
      <c r="I28" s="53">
        <v>104.8</v>
      </c>
      <c r="J28" s="53">
        <v>102.5</v>
      </c>
      <c r="K28" s="53">
        <v>103.6</v>
      </c>
      <c r="L28" s="53">
        <v>102.7</v>
      </c>
      <c r="M28" s="53">
        <v>105.3</v>
      </c>
      <c r="N28" s="3"/>
    </row>
    <row r="29" spans="2:13" s="20" customFormat="1" ht="39">
      <c r="B29" s="32" t="s">
        <v>166</v>
      </c>
      <c r="C29" s="23" t="s">
        <v>62</v>
      </c>
      <c r="D29" s="19" t="s">
        <v>11</v>
      </c>
      <c r="E29" s="53">
        <v>93</v>
      </c>
      <c r="F29" s="53">
        <v>83.4</v>
      </c>
      <c r="G29" s="53">
        <v>117.5</v>
      </c>
      <c r="H29" s="53">
        <v>101</v>
      </c>
      <c r="I29" s="53">
        <v>102.5</v>
      </c>
      <c r="J29" s="53">
        <v>101.3</v>
      </c>
      <c r="K29" s="53">
        <v>102.7</v>
      </c>
      <c r="L29" s="53">
        <v>100.8</v>
      </c>
      <c r="M29" s="53">
        <v>103</v>
      </c>
    </row>
    <row r="30" spans="2:13" s="20" customFormat="1" ht="58.5">
      <c r="B30" s="32" t="s">
        <v>167</v>
      </c>
      <c r="C30" s="23" t="s">
        <v>63</v>
      </c>
      <c r="D30" s="19" t="s">
        <v>11</v>
      </c>
      <c r="E30" s="53">
        <v>131.5</v>
      </c>
      <c r="F30" s="53">
        <v>93.2</v>
      </c>
      <c r="G30" s="53">
        <v>100</v>
      </c>
      <c r="H30" s="53">
        <v>100.1</v>
      </c>
      <c r="I30" s="53">
        <v>101.5</v>
      </c>
      <c r="J30" s="53">
        <v>100.2</v>
      </c>
      <c r="K30" s="53">
        <v>107.5</v>
      </c>
      <c r="L30" s="53">
        <v>100.2</v>
      </c>
      <c r="M30" s="53">
        <v>102.5</v>
      </c>
    </row>
    <row r="31" spans="2:13" s="20" customFormat="1" ht="18.75">
      <c r="B31" s="32" t="s">
        <v>168</v>
      </c>
      <c r="C31" s="22" t="s">
        <v>0</v>
      </c>
      <c r="D31" s="19" t="s">
        <v>1</v>
      </c>
      <c r="E31" s="53">
        <v>19.3</v>
      </c>
      <c r="F31" s="53">
        <v>20.2</v>
      </c>
      <c r="G31" s="53">
        <v>21.1</v>
      </c>
      <c r="H31" s="53">
        <f>G31*100.3%</f>
        <v>21.1633</v>
      </c>
      <c r="I31" s="53">
        <f>G31*100.6%</f>
        <v>21.2266</v>
      </c>
      <c r="J31" s="53">
        <f>H31*100.3%</f>
        <v>21.226789899999996</v>
      </c>
      <c r="K31" s="53">
        <f>I31*100.6%</f>
        <v>21.3539596</v>
      </c>
      <c r="L31" s="53">
        <f>J31*100.3%</f>
        <v>21.290470269699995</v>
      </c>
      <c r="M31" s="53">
        <f>K31*100.6%</f>
        <v>21.4820833576</v>
      </c>
    </row>
    <row r="32" spans="2:13" s="20" customFormat="1" ht="37.5">
      <c r="B32" s="33" t="s">
        <v>169</v>
      </c>
      <c r="C32" s="22" t="s">
        <v>3</v>
      </c>
      <c r="D32" s="19" t="s">
        <v>4</v>
      </c>
      <c r="E32" s="54">
        <v>5984.8</v>
      </c>
      <c r="F32" s="54">
        <v>8509.2</v>
      </c>
      <c r="G32" s="54">
        <v>11849.3</v>
      </c>
      <c r="H32" s="54">
        <v>11615</v>
      </c>
      <c r="I32" s="54">
        <v>11615</v>
      </c>
      <c r="J32" s="54">
        <v>15076</v>
      </c>
      <c r="K32" s="54">
        <v>15076</v>
      </c>
      <c r="L32" s="54">
        <v>19971</v>
      </c>
      <c r="M32" s="54">
        <v>19971</v>
      </c>
    </row>
    <row r="33" spans="2:13" s="20" customFormat="1" ht="56.25">
      <c r="B33" s="32" t="s">
        <v>170</v>
      </c>
      <c r="C33" s="22" t="s">
        <v>64</v>
      </c>
      <c r="D33" s="19" t="s">
        <v>5</v>
      </c>
      <c r="E33" s="53">
        <v>105</v>
      </c>
      <c r="F33" s="53">
        <v>142.2</v>
      </c>
      <c r="G33" s="53">
        <v>139.3</v>
      </c>
      <c r="H33" s="53">
        <v>98</v>
      </c>
      <c r="I33" s="53">
        <v>98</v>
      </c>
      <c r="J33" s="53">
        <v>129.8</v>
      </c>
      <c r="K33" s="53">
        <v>129.8</v>
      </c>
      <c r="L33" s="53">
        <v>132.5</v>
      </c>
      <c r="M33" s="53">
        <v>132.5</v>
      </c>
    </row>
    <row r="34" spans="2:13" ht="18.75">
      <c r="B34" s="30" t="s">
        <v>133</v>
      </c>
      <c r="C34" s="5" t="s">
        <v>86</v>
      </c>
      <c r="D34" s="6"/>
      <c r="E34" s="15"/>
      <c r="F34" s="15"/>
      <c r="G34" s="15"/>
      <c r="H34" s="15"/>
      <c r="I34" s="16"/>
      <c r="J34" s="16"/>
      <c r="K34" s="16"/>
      <c r="L34" s="16"/>
      <c r="M34" s="16"/>
    </row>
    <row r="35" spans="2:13" s="20" customFormat="1" ht="18.75">
      <c r="B35" s="34" t="s">
        <v>171</v>
      </c>
      <c r="C35" s="25" t="s">
        <v>6</v>
      </c>
      <c r="D35" s="17" t="s">
        <v>7</v>
      </c>
      <c r="E35" s="57">
        <v>27.7</v>
      </c>
      <c r="F35" s="57">
        <v>59.8</v>
      </c>
      <c r="G35" s="57">
        <v>62.4</v>
      </c>
      <c r="H35" s="57">
        <f>G35*100.1%</f>
        <v>62.46239999999999</v>
      </c>
      <c r="I35" s="57">
        <f>G35*104.7%</f>
        <v>65.33279999999999</v>
      </c>
      <c r="J35" s="57">
        <f>H35*100.1%</f>
        <v>62.52486239999998</v>
      </c>
      <c r="K35" s="57">
        <f>I35*104.5%</f>
        <v>68.272776</v>
      </c>
      <c r="L35" s="57">
        <f>J35*100.1%</f>
        <v>62.58738726239998</v>
      </c>
      <c r="M35" s="57">
        <f>K35*100.1%</f>
        <v>68.34104877599998</v>
      </c>
    </row>
    <row r="36" spans="2:13" s="20" customFormat="1" ht="37.5">
      <c r="B36" s="33" t="s">
        <v>172</v>
      </c>
      <c r="C36" s="22" t="s">
        <v>8</v>
      </c>
      <c r="D36" s="19" t="s">
        <v>11</v>
      </c>
      <c r="E36" s="57">
        <v>100.8</v>
      </c>
      <c r="F36" s="57">
        <v>215.9</v>
      </c>
      <c r="G36" s="57">
        <v>104.4</v>
      </c>
      <c r="H36" s="57">
        <v>100.1</v>
      </c>
      <c r="I36" s="57">
        <v>104.7</v>
      </c>
      <c r="J36" s="57">
        <v>100.1</v>
      </c>
      <c r="K36" s="57">
        <v>104.5</v>
      </c>
      <c r="L36" s="57">
        <v>100.1</v>
      </c>
      <c r="M36" s="57">
        <v>100.1</v>
      </c>
    </row>
    <row r="37" spans="2:13" ht="18.75">
      <c r="B37" s="31" t="s">
        <v>132</v>
      </c>
      <c r="C37" s="5" t="s">
        <v>49</v>
      </c>
      <c r="D37" s="5"/>
      <c r="E37" s="15"/>
      <c r="F37" s="15"/>
      <c r="G37" s="15"/>
      <c r="H37" s="15"/>
      <c r="I37" s="16"/>
      <c r="J37" s="16"/>
      <c r="K37" s="16"/>
      <c r="L37" s="16"/>
      <c r="M37" s="16"/>
    </row>
    <row r="38" spans="2:13" s="20" customFormat="1" ht="37.5">
      <c r="B38" s="33" t="s">
        <v>173</v>
      </c>
      <c r="C38" s="22" t="s">
        <v>65</v>
      </c>
      <c r="D38" s="17" t="s">
        <v>10</v>
      </c>
      <c r="E38" s="57">
        <v>84.5</v>
      </c>
      <c r="F38" s="57">
        <v>0</v>
      </c>
      <c r="G38" s="57">
        <v>0</v>
      </c>
      <c r="H38" s="57">
        <f>G38*100.3%</f>
        <v>0</v>
      </c>
      <c r="I38" s="57">
        <v>0</v>
      </c>
      <c r="J38" s="57">
        <v>0</v>
      </c>
      <c r="K38" s="57">
        <v>0</v>
      </c>
      <c r="L38" s="57">
        <f>G38*0%</f>
        <v>0</v>
      </c>
      <c r="M38" s="57">
        <f>G38*0%</f>
        <v>0</v>
      </c>
    </row>
    <row r="39" spans="2:13" s="20" customFormat="1" ht="37.5">
      <c r="B39" s="33" t="s">
        <v>174</v>
      </c>
      <c r="C39" s="22" t="s">
        <v>66</v>
      </c>
      <c r="D39" s="19" t="s">
        <v>11</v>
      </c>
      <c r="E39" s="57">
        <v>100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</row>
    <row r="40" spans="2:13" s="20" customFormat="1" ht="37.5">
      <c r="B40" s="33" t="s">
        <v>175</v>
      </c>
      <c r="C40" s="22" t="s">
        <v>67</v>
      </c>
      <c r="D40" s="19" t="s">
        <v>32</v>
      </c>
      <c r="E40" s="57">
        <v>100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</row>
    <row r="41" spans="2:13" s="20" customFormat="1" ht="37.5">
      <c r="B41" s="33" t="s">
        <v>176</v>
      </c>
      <c r="C41" s="22" t="s">
        <v>12</v>
      </c>
      <c r="D41" s="17" t="s">
        <v>13</v>
      </c>
      <c r="E41" s="57">
        <v>0.85</v>
      </c>
      <c r="F41" s="58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</row>
    <row r="42" spans="2:13" ht="18.75">
      <c r="B42" s="30" t="s">
        <v>131</v>
      </c>
      <c r="C42" s="5" t="s">
        <v>88</v>
      </c>
      <c r="D42" s="6"/>
      <c r="E42" s="15"/>
      <c r="F42" s="15"/>
      <c r="G42" s="15"/>
      <c r="H42" s="15"/>
      <c r="I42" s="16"/>
      <c r="J42" s="16"/>
      <c r="K42" s="16"/>
      <c r="L42" s="16"/>
      <c r="M42" s="16"/>
    </row>
    <row r="43" spans="2:13" s="20" customFormat="1" ht="37.5">
      <c r="B43" s="33" t="s">
        <v>177</v>
      </c>
      <c r="C43" s="22" t="s">
        <v>68</v>
      </c>
      <c r="D43" s="19" t="s">
        <v>69</v>
      </c>
      <c r="E43" s="53">
        <v>106.7</v>
      </c>
      <c r="F43" s="53">
        <v>112.2</v>
      </c>
      <c r="G43" s="53">
        <v>105.6</v>
      </c>
      <c r="H43" s="53">
        <v>104.4</v>
      </c>
      <c r="I43" s="53">
        <v>104.4</v>
      </c>
      <c r="J43" s="53">
        <v>104</v>
      </c>
      <c r="K43" s="53">
        <v>104</v>
      </c>
      <c r="L43" s="53">
        <v>104</v>
      </c>
      <c r="M43" s="53">
        <v>104</v>
      </c>
    </row>
    <row r="44" spans="2:13" s="20" customFormat="1" ht="18.75">
      <c r="B44" s="33" t="s">
        <v>178</v>
      </c>
      <c r="C44" s="24" t="s">
        <v>70</v>
      </c>
      <c r="D44" s="19" t="s">
        <v>57</v>
      </c>
      <c r="E44" s="53">
        <v>105.1</v>
      </c>
      <c r="F44" s="53">
        <v>111.9</v>
      </c>
      <c r="G44" s="53">
        <v>105</v>
      </c>
      <c r="H44" s="53">
        <v>104.7</v>
      </c>
      <c r="I44" s="53">
        <v>104.7</v>
      </c>
      <c r="J44" s="53">
        <v>104</v>
      </c>
      <c r="K44" s="53">
        <v>104</v>
      </c>
      <c r="L44" s="53">
        <v>104</v>
      </c>
      <c r="M44" s="53">
        <v>104</v>
      </c>
    </row>
    <row r="45" spans="2:15" s="20" customFormat="1" ht="18.75">
      <c r="B45" s="33" t="s">
        <v>179</v>
      </c>
      <c r="C45" s="22" t="s">
        <v>15</v>
      </c>
      <c r="D45" s="26" t="s">
        <v>215</v>
      </c>
      <c r="E45" s="53">
        <v>124</v>
      </c>
      <c r="F45" s="53">
        <v>84.9</v>
      </c>
      <c r="G45" s="59">
        <v>94.3</v>
      </c>
      <c r="H45" s="57">
        <f>G45*101.7%</f>
        <v>95.90310000000001</v>
      </c>
      <c r="I45" s="57">
        <f>G45*101.2%</f>
        <v>95.4316</v>
      </c>
      <c r="J45" s="57">
        <f>H45*101.8%</f>
        <v>97.62935580000001</v>
      </c>
      <c r="K45" s="57">
        <f>I45*102.3%</f>
        <v>97.6265268</v>
      </c>
      <c r="L45" s="57">
        <f>J45*102%</f>
        <v>99.58194291600002</v>
      </c>
      <c r="M45" s="57">
        <f>K45*102.4%</f>
        <v>99.9695634432</v>
      </c>
      <c r="N45" s="3"/>
      <c r="O45" s="20" t="s">
        <v>258</v>
      </c>
    </row>
    <row r="46" spans="2:14" s="20" customFormat="1" ht="37.5">
      <c r="B46" s="33" t="s">
        <v>180</v>
      </c>
      <c r="C46" s="22" t="s">
        <v>212</v>
      </c>
      <c r="D46" s="26" t="s">
        <v>213</v>
      </c>
      <c r="E46" s="57">
        <v>175.4</v>
      </c>
      <c r="F46" s="57">
        <v>68.5</v>
      </c>
      <c r="G46" s="57">
        <v>111.1</v>
      </c>
      <c r="H46" s="57">
        <v>102</v>
      </c>
      <c r="I46" s="57">
        <v>103.7</v>
      </c>
      <c r="J46" s="57">
        <v>102.2</v>
      </c>
      <c r="K46" s="57">
        <v>104</v>
      </c>
      <c r="L46" s="57">
        <v>102.5</v>
      </c>
      <c r="M46" s="57">
        <v>104.5</v>
      </c>
      <c r="N46" s="3"/>
    </row>
    <row r="47" spans="2:14" s="20" customFormat="1" ht="18.75">
      <c r="B47" s="33" t="s">
        <v>181</v>
      </c>
      <c r="C47" s="22" t="s">
        <v>214</v>
      </c>
      <c r="D47" s="19" t="s">
        <v>57</v>
      </c>
      <c r="E47" s="57">
        <v>106.7</v>
      </c>
      <c r="F47" s="57">
        <v>114.9</v>
      </c>
      <c r="G47" s="57">
        <v>104.6</v>
      </c>
      <c r="H47" s="57">
        <v>103.1</v>
      </c>
      <c r="I47" s="57">
        <v>104</v>
      </c>
      <c r="J47" s="57">
        <v>104</v>
      </c>
      <c r="K47" s="57">
        <v>104</v>
      </c>
      <c r="L47" s="57">
        <v>104</v>
      </c>
      <c r="M47" s="57">
        <v>104.1</v>
      </c>
      <c r="N47" s="3"/>
    </row>
    <row r="48" spans="2:13" s="20" customFormat="1" ht="18.75">
      <c r="B48" s="33" t="s">
        <v>182</v>
      </c>
      <c r="C48" s="22" t="s">
        <v>16</v>
      </c>
      <c r="D48" s="26" t="s">
        <v>215</v>
      </c>
      <c r="E48" s="60">
        <v>2.8</v>
      </c>
      <c r="F48" s="60">
        <v>4.9</v>
      </c>
      <c r="G48" s="57">
        <v>5.1</v>
      </c>
      <c r="H48" s="57">
        <f>G48*102.7%</f>
        <v>5.2377</v>
      </c>
      <c r="I48" s="57">
        <f>G48*101.5%</f>
        <v>5.176499999999999</v>
      </c>
      <c r="J48" s="57">
        <f>H48*103.3%</f>
        <v>5.4105441</v>
      </c>
      <c r="K48" s="57">
        <f>I48*101.7%</f>
        <v>5.2645005</v>
      </c>
      <c r="L48" s="57">
        <f>J48*103.5%</f>
        <v>5.599913143499999</v>
      </c>
      <c r="M48" s="57">
        <f>K48*102%</f>
        <v>5.36979051</v>
      </c>
    </row>
    <row r="49" spans="2:13" s="20" customFormat="1" ht="18.75">
      <c r="B49" s="33" t="s">
        <v>183</v>
      </c>
      <c r="C49" s="22" t="s">
        <v>255</v>
      </c>
      <c r="D49" s="19" t="s">
        <v>57</v>
      </c>
      <c r="E49" s="57">
        <v>133.5</v>
      </c>
      <c r="F49" s="60">
        <v>175.4</v>
      </c>
      <c r="G49" s="57">
        <v>104.1</v>
      </c>
      <c r="H49" s="57">
        <v>102.7</v>
      </c>
      <c r="I49" s="57">
        <v>101.5</v>
      </c>
      <c r="J49" s="57">
        <v>103.3</v>
      </c>
      <c r="K49" s="57">
        <v>101.7</v>
      </c>
      <c r="L49" s="57">
        <v>103.5</v>
      </c>
      <c r="M49" s="57">
        <v>102</v>
      </c>
    </row>
    <row r="50" spans="2:13" s="20" customFormat="1" ht="18.75">
      <c r="B50" s="33" t="s">
        <v>184</v>
      </c>
      <c r="C50" s="22" t="s">
        <v>21</v>
      </c>
      <c r="D50" s="19" t="s">
        <v>57</v>
      </c>
      <c r="E50" s="57">
        <v>101.4</v>
      </c>
      <c r="F50" s="60">
        <v>103</v>
      </c>
      <c r="G50" s="57">
        <v>101.2</v>
      </c>
      <c r="H50" s="57">
        <v>101.7</v>
      </c>
      <c r="I50" s="57">
        <v>101.3</v>
      </c>
      <c r="J50" s="57">
        <v>101.5</v>
      </c>
      <c r="K50" s="57">
        <v>101.3</v>
      </c>
      <c r="L50" s="57">
        <v>101.7</v>
      </c>
      <c r="M50" s="57">
        <v>101.4</v>
      </c>
    </row>
    <row r="51" spans="2:13" ht="18.75">
      <c r="B51" s="30" t="s">
        <v>128</v>
      </c>
      <c r="C51" s="5" t="s">
        <v>89</v>
      </c>
      <c r="D51" s="6"/>
      <c r="E51" s="15"/>
      <c r="F51" s="15"/>
      <c r="G51" s="15"/>
      <c r="H51" s="15"/>
      <c r="I51" s="16"/>
      <c r="J51" s="16"/>
      <c r="K51" s="16"/>
      <c r="L51" s="16"/>
      <c r="M51" s="16"/>
    </row>
    <row r="52" spans="2:13" ht="37.5">
      <c r="B52" s="30" t="s">
        <v>130</v>
      </c>
      <c r="C52" s="4" t="s">
        <v>90</v>
      </c>
      <c r="D52" s="6"/>
      <c r="E52" s="15"/>
      <c r="F52" s="15"/>
      <c r="G52" s="15"/>
      <c r="H52" s="15"/>
      <c r="I52" s="16"/>
      <c r="J52" s="16"/>
      <c r="K52" s="16"/>
      <c r="L52" s="16"/>
      <c r="M52" s="16"/>
    </row>
    <row r="53" spans="2:13" s="20" customFormat="1" ht="37.5">
      <c r="B53" s="33" t="s">
        <v>185</v>
      </c>
      <c r="C53" s="22" t="s">
        <v>71</v>
      </c>
      <c r="D53" s="19" t="s">
        <v>17</v>
      </c>
      <c r="E53" s="55">
        <v>60</v>
      </c>
      <c r="F53" s="55">
        <v>56</v>
      </c>
      <c r="G53" s="55">
        <v>57</v>
      </c>
      <c r="H53" s="55">
        <v>60</v>
      </c>
      <c r="I53" s="55">
        <f>G53*101%</f>
        <v>57.57</v>
      </c>
      <c r="J53" s="55">
        <f>H53*101%</f>
        <v>60.6</v>
      </c>
      <c r="K53" s="55">
        <f>I53*101%</f>
        <v>58.1457</v>
      </c>
      <c r="L53" s="55">
        <f>J53*101%</f>
        <v>61.206</v>
      </c>
      <c r="M53" s="55">
        <f>K53*101%</f>
        <v>58.727157</v>
      </c>
    </row>
    <row r="54" spans="2:13" s="20" customFormat="1" ht="56.25">
      <c r="B54" s="32" t="s">
        <v>186</v>
      </c>
      <c r="C54" s="22" t="s">
        <v>44</v>
      </c>
      <c r="D54" s="17" t="s">
        <v>18</v>
      </c>
      <c r="E54" s="52">
        <v>0.608</v>
      </c>
      <c r="F54" s="52">
        <v>0.562</v>
      </c>
      <c r="G54" s="52">
        <v>0.562</v>
      </c>
      <c r="H54" s="52">
        <f>G54*100.3%</f>
        <v>0.563686</v>
      </c>
      <c r="I54" s="52">
        <f>G54*100.8%</f>
        <v>0.5664960000000001</v>
      </c>
      <c r="J54" s="52">
        <f>H54*100.3%</f>
        <v>0.5653770579999999</v>
      </c>
      <c r="K54" s="52">
        <f>I54*100.8%</f>
        <v>0.5710279680000001</v>
      </c>
      <c r="L54" s="52">
        <f>J54*100.3%</f>
        <v>0.5670731891739998</v>
      </c>
      <c r="M54" s="52">
        <f>K54*100.8%</f>
        <v>0.5755961917440001</v>
      </c>
    </row>
    <row r="55" spans="2:13" s="20" customFormat="1" ht="37.5">
      <c r="B55" s="32" t="s">
        <v>187</v>
      </c>
      <c r="C55" s="22" t="s">
        <v>43</v>
      </c>
      <c r="D55" s="19" t="s">
        <v>19</v>
      </c>
      <c r="E55" s="52">
        <v>15.632</v>
      </c>
      <c r="F55" s="52">
        <v>9.457</v>
      </c>
      <c r="G55" s="52">
        <v>10.28</v>
      </c>
      <c r="H55" s="52">
        <f>G55*97.9%</f>
        <v>10.06412</v>
      </c>
      <c r="I55" s="52">
        <f>G55*103.6%</f>
        <v>10.650079999999999</v>
      </c>
      <c r="J55" s="52">
        <f>H55*104.9%</f>
        <v>10.557261880000002</v>
      </c>
      <c r="K55" s="52">
        <f>I55*106.7%</f>
        <v>11.363635359999998</v>
      </c>
      <c r="L55" s="52">
        <f>J55*106.2%</f>
        <v>11.211812116560003</v>
      </c>
      <c r="M55" s="52">
        <f>K55*106.1%</f>
        <v>12.056817116959998</v>
      </c>
    </row>
    <row r="56" spans="2:13" ht="18.75">
      <c r="B56" s="30" t="s">
        <v>129</v>
      </c>
      <c r="C56" s="5" t="s">
        <v>91</v>
      </c>
      <c r="D56" s="6"/>
      <c r="E56" s="15"/>
      <c r="F56" s="15"/>
      <c r="G56" s="15"/>
      <c r="H56" s="15"/>
      <c r="I56" s="16"/>
      <c r="J56" s="16"/>
      <c r="K56" s="16"/>
      <c r="L56" s="16"/>
      <c r="M56" s="16"/>
    </row>
    <row r="57" spans="2:13" s="20" customFormat="1" ht="18.75">
      <c r="B57" s="32" t="s">
        <v>188</v>
      </c>
      <c r="C57" s="25" t="s">
        <v>20</v>
      </c>
      <c r="D57" s="19" t="s">
        <v>215</v>
      </c>
      <c r="E57" s="57">
        <v>2411.57</v>
      </c>
      <c r="F57" s="57">
        <v>4377.5</v>
      </c>
      <c r="G57" s="57">
        <v>3611.4</v>
      </c>
      <c r="H57" s="57">
        <f>G57*95.6%</f>
        <v>3452.4984</v>
      </c>
      <c r="I57" s="57">
        <f>G57*101.4%</f>
        <v>3661.9596</v>
      </c>
      <c r="J57" s="57">
        <f>H57*100.6%</f>
        <v>3473.2133903999998</v>
      </c>
      <c r="K57" s="57">
        <f>I57*101.1%</f>
        <v>3702.2411555999997</v>
      </c>
      <c r="L57" s="57">
        <f>J57*94.9%</f>
        <v>3296.0795074896</v>
      </c>
      <c r="M57" s="57">
        <f>K57*102.2%</f>
        <v>3783.6904610232</v>
      </c>
    </row>
    <row r="58" spans="2:13" s="20" customFormat="1" ht="37.5">
      <c r="B58" s="34" t="s">
        <v>189</v>
      </c>
      <c r="C58" s="25" t="s">
        <v>144</v>
      </c>
      <c r="D58" s="19" t="s">
        <v>57</v>
      </c>
      <c r="E58" s="57">
        <v>65</v>
      </c>
      <c r="F58" s="57">
        <v>174</v>
      </c>
      <c r="G58" s="57">
        <v>82.5</v>
      </c>
      <c r="H58" s="57">
        <v>95.64</v>
      </c>
      <c r="I58" s="57">
        <v>101.4</v>
      </c>
      <c r="J58" s="57">
        <v>100.63</v>
      </c>
      <c r="K58" s="57">
        <v>101.1</v>
      </c>
      <c r="L58" s="57">
        <v>94.89</v>
      </c>
      <c r="M58" s="57">
        <v>102.2</v>
      </c>
    </row>
    <row r="59" spans="2:13" s="20" customFormat="1" ht="18.75">
      <c r="B59" s="34" t="s">
        <v>190</v>
      </c>
      <c r="C59" s="22" t="s">
        <v>145</v>
      </c>
      <c r="D59" s="19" t="s">
        <v>57</v>
      </c>
      <c r="E59" s="57">
        <v>105.9</v>
      </c>
      <c r="F59" s="57">
        <v>117.6</v>
      </c>
      <c r="G59" s="57">
        <v>106</v>
      </c>
      <c r="H59" s="57">
        <v>106.1</v>
      </c>
      <c r="I59" s="57">
        <v>105.1</v>
      </c>
      <c r="J59" s="57">
        <v>105.8</v>
      </c>
      <c r="K59" s="57">
        <v>104.1</v>
      </c>
      <c r="L59" s="57">
        <v>106.5</v>
      </c>
      <c r="M59" s="57">
        <v>104.5</v>
      </c>
    </row>
    <row r="60" spans="2:13" ht="37.5">
      <c r="B60" s="30" t="s">
        <v>137</v>
      </c>
      <c r="C60" s="5" t="s">
        <v>92</v>
      </c>
      <c r="D60" s="6"/>
      <c r="E60" s="15"/>
      <c r="F60" s="15"/>
      <c r="G60" s="15"/>
      <c r="H60" s="15"/>
      <c r="I60" s="16"/>
      <c r="J60" s="16"/>
      <c r="K60" s="16"/>
      <c r="L60" s="16"/>
      <c r="M60" s="16"/>
    </row>
    <row r="61" spans="2:13" s="20" customFormat="1" ht="39">
      <c r="B61" s="34" t="s">
        <v>191</v>
      </c>
      <c r="C61" s="18" t="s">
        <v>72</v>
      </c>
      <c r="D61" s="19" t="s">
        <v>7</v>
      </c>
      <c r="E61" s="61">
        <v>907.37</v>
      </c>
      <c r="F61" s="61">
        <f>F62+F75</f>
        <v>870.8099999999998</v>
      </c>
      <c r="G61" s="61">
        <f aca="true" t="shared" si="1" ref="G61:M61">G62+G75</f>
        <v>812.4</v>
      </c>
      <c r="H61" s="61">
        <f t="shared" si="1"/>
        <v>916.7</v>
      </c>
      <c r="I61" s="61">
        <f t="shared" si="1"/>
        <v>925.0999999999999</v>
      </c>
      <c r="J61" s="61">
        <f t="shared" si="1"/>
        <v>945.8999999999999</v>
      </c>
      <c r="K61" s="61">
        <f t="shared" si="1"/>
        <v>958.3</v>
      </c>
      <c r="L61" s="61">
        <f t="shared" si="1"/>
        <v>993.9000000000001</v>
      </c>
      <c r="M61" s="61">
        <f t="shared" si="1"/>
        <v>1013.7</v>
      </c>
    </row>
    <row r="62" spans="2:13" s="20" customFormat="1" ht="19.5">
      <c r="B62" s="32" t="s">
        <v>192</v>
      </c>
      <c r="C62" s="18" t="s">
        <v>94</v>
      </c>
      <c r="D62" s="19" t="s">
        <v>22</v>
      </c>
      <c r="E62" s="61">
        <v>697.15</v>
      </c>
      <c r="F62" s="61">
        <f>F63+F74</f>
        <v>649.2099999999998</v>
      </c>
      <c r="G62" s="61">
        <v>504.2</v>
      </c>
      <c r="H62" s="61">
        <f aca="true" t="shared" si="2" ref="H62:M62">H63+H74</f>
        <v>662.5</v>
      </c>
      <c r="I62" s="61">
        <f t="shared" si="2"/>
        <v>670.9</v>
      </c>
      <c r="J62" s="61">
        <f t="shared" si="2"/>
        <v>705.6999999999999</v>
      </c>
      <c r="K62" s="61">
        <f t="shared" si="2"/>
        <v>718.1</v>
      </c>
      <c r="L62" s="61">
        <f t="shared" si="2"/>
        <v>753.7</v>
      </c>
      <c r="M62" s="61">
        <f t="shared" si="2"/>
        <v>773.5</v>
      </c>
    </row>
    <row r="63" spans="2:13" s="20" customFormat="1" ht="39">
      <c r="B63" s="32" t="s">
        <v>193</v>
      </c>
      <c r="C63" s="18" t="s">
        <v>95</v>
      </c>
      <c r="D63" s="19" t="s">
        <v>22</v>
      </c>
      <c r="E63" s="61">
        <v>439.27</v>
      </c>
      <c r="F63" s="61">
        <f>235.4+F64+F65+F68+F69+F70+F73</f>
        <v>629.4099999999999</v>
      </c>
      <c r="G63" s="61">
        <v>390.3</v>
      </c>
      <c r="H63" s="61">
        <v>647.3</v>
      </c>
      <c r="I63" s="61">
        <v>655.1</v>
      </c>
      <c r="J63" s="61">
        <v>690.3</v>
      </c>
      <c r="K63" s="61">
        <v>702.1</v>
      </c>
      <c r="L63" s="61">
        <v>738.6</v>
      </c>
      <c r="M63" s="61">
        <v>757.8</v>
      </c>
    </row>
    <row r="64" spans="2:13" s="20" customFormat="1" ht="18.75">
      <c r="B64" s="32" t="s">
        <v>216</v>
      </c>
      <c r="C64" s="21" t="s">
        <v>99</v>
      </c>
      <c r="D64" s="19" t="s">
        <v>22</v>
      </c>
      <c r="E64" s="61">
        <v>7.18</v>
      </c>
      <c r="F64" s="61">
        <v>25.1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5.6</v>
      </c>
      <c r="M64" s="61">
        <v>5.8</v>
      </c>
    </row>
    <row r="65" spans="2:13" s="20" customFormat="1" ht="18.75">
      <c r="B65" s="32" t="s">
        <v>217</v>
      </c>
      <c r="C65" s="21" t="s">
        <v>100</v>
      </c>
      <c r="D65" s="19" t="s">
        <v>22</v>
      </c>
      <c r="E65" s="61">
        <v>432.08</v>
      </c>
      <c r="F65" s="61">
        <v>276</v>
      </c>
      <c r="G65" s="61">
        <v>352.4</v>
      </c>
      <c r="H65" s="61">
        <v>397.2</v>
      </c>
      <c r="I65" s="61">
        <f>G65*113.62%</f>
        <v>400.39688</v>
      </c>
      <c r="J65" s="61">
        <f>H65*109.3%</f>
        <v>434.1396</v>
      </c>
      <c r="K65" s="61">
        <f>I65*109.3%</f>
        <v>437.63378984</v>
      </c>
      <c r="L65" s="61">
        <f>J65*104.5%</f>
        <v>453.67588199999994</v>
      </c>
      <c r="M65" s="61">
        <f>K65*109.3%</f>
        <v>478.33373229512</v>
      </c>
    </row>
    <row r="66" spans="2:17" s="20" customFormat="1" ht="18.75">
      <c r="B66" s="32" t="s">
        <v>218</v>
      </c>
      <c r="C66" s="21" t="s">
        <v>101</v>
      </c>
      <c r="D66" s="19" t="s">
        <v>22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O66" s="28"/>
      <c r="Q66" s="28"/>
    </row>
    <row r="67" spans="2:15" s="20" customFormat="1" ht="18.75">
      <c r="B67" s="32" t="s">
        <v>219</v>
      </c>
      <c r="C67" s="21" t="s">
        <v>102</v>
      </c>
      <c r="D67" s="19" t="s">
        <v>22</v>
      </c>
      <c r="E67" s="61">
        <v>0.2</v>
      </c>
      <c r="F67" s="61">
        <v>0</v>
      </c>
      <c r="G67" s="62">
        <v>0.27</v>
      </c>
      <c r="H67" s="61">
        <v>0</v>
      </c>
      <c r="I67" s="61">
        <v>0</v>
      </c>
      <c r="J67" s="61">
        <v>0</v>
      </c>
      <c r="K67" s="61">
        <f>I67*138.2%</f>
        <v>0</v>
      </c>
      <c r="L67" s="61">
        <f>J67*100.2%</f>
        <v>0</v>
      </c>
      <c r="M67" s="61">
        <f>K67*100.2%</f>
        <v>0</v>
      </c>
      <c r="O67" s="28"/>
    </row>
    <row r="68" spans="2:15" s="20" customFormat="1" ht="37.5">
      <c r="B68" s="32" t="s">
        <v>220</v>
      </c>
      <c r="C68" s="21" t="s">
        <v>103</v>
      </c>
      <c r="D68" s="19" t="s">
        <v>22</v>
      </c>
      <c r="E68" s="61">
        <v>7.84</v>
      </c>
      <c r="F68" s="61">
        <v>9.3</v>
      </c>
      <c r="G68" s="63">
        <v>8.9</v>
      </c>
      <c r="H68" s="61">
        <f>G68*102%</f>
        <v>9.078000000000001</v>
      </c>
      <c r="I68" s="61">
        <f>G68*122.4%</f>
        <v>10.893600000000001</v>
      </c>
      <c r="J68" s="61">
        <f>H68*103%</f>
        <v>9.350340000000001</v>
      </c>
      <c r="K68" s="61">
        <f>I68*103%</f>
        <v>11.220408</v>
      </c>
      <c r="L68" s="61">
        <f>J68*104%</f>
        <v>9.7243536</v>
      </c>
      <c r="M68" s="61">
        <f>K68*103.5%</f>
        <v>11.61312228</v>
      </c>
      <c r="N68" s="28"/>
      <c r="O68" s="28"/>
    </row>
    <row r="69" spans="2:13" s="20" customFormat="1" ht="18.75">
      <c r="B69" s="32" t="s">
        <v>221</v>
      </c>
      <c r="C69" s="21" t="s">
        <v>104</v>
      </c>
      <c r="D69" s="19" t="s">
        <v>22</v>
      </c>
      <c r="E69" s="61">
        <v>0</v>
      </c>
      <c r="F69" s="61">
        <v>0.01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</row>
    <row r="70" spans="2:15" s="20" customFormat="1" ht="18.75">
      <c r="B70" s="32" t="s">
        <v>222</v>
      </c>
      <c r="C70" s="21" t="s">
        <v>105</v>
      </c>
      <c r="D70" s="19" t="s">
        <v>22</v>
      </c>
      <c r="E70" s="61">
        <v>67.69</v>
      </c>
      <c r="F70" s="64">
        <v>82.8</v>
      </c>
      <c r="G70" s="61">
        <v>88.1</v>
      </c>
      <c r="H70" s="61">
        <f>G70*98%</f>
        <v>86.338</v>
      </c>
      <c r="I70" s="61">
        <f>G70*99.8%</f>
        <v>87.9238</v>
      </c>
      <c r="J70" s="61">
        <f>H70*100%</f>
        <v>86.338</v>
      </c>
      <c r="K70" s="61">
        <f>I70*101%</f>
        <v>88.803038</v>
      </c>
      <c r="L70" s="61">
        <f>J70*100%</f>
        <v>86.338</v>
      </c>
      <c r="M70" s="61">
        <f>K70*101.1%</f>
        <v>89.77987141799998</v>
      </c>
      <c r="O70" s="35"/>
    </row>
    <row r="71" spans="2:13" s="20" customFormat="1" ht="18.75">
      <c r="B71" s="32" t="s">
        <v>223</v>
      </c>
      <c r="C71" s="21" t="s">
        <v>106</v>
      </c>
      <c r="D71" s="19" t="s">
        <v>22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</row>
    <row r="72" spans="2:13" s="20" customFormat="1" ht="18.75">
      <c r="B72" s="32" t="s">
        <v>224</v>
      </c>
      <c r="C72" s="21" t="s">
        <v>107</v>
      </c>
      <c r="D72" s="19" t="s">
        <v>22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</row>
    <row r="73" spans="2:13" s="20" customFormat="1" ht="18.75">
      <c r="B73" s="32" t="s">
        <v>225</v>
      </c>
      <c r="C73" s="21" t="s">
        <v>108</v>
      </c>
      <c r="D73" s="19" t="s">
        <v>22</v>
      </c>
      <c r="E73" s="61">
        <v>0.2</v>
      </c>
      <c r="F73" s="61">
        <v>0.8</v>
      </c>
      <c r="G73" s="61">
        <v>0.8</v>
      </c>
      <c r="H73" s="61">
        <v>0.7</v>
      </c>
      <c r="I73" s="61">
        <v>0.7</v>
      </c>
      <c r="J73" s="61">
        <v>0.7</v>
      </c>
      <c r="K73" s="61">
        <v>0.7</v>
      </c>
      <c r="L73" s="61">
        <v>0.7</v>
      </c>
      <c r="M73" s="61">
        <v>0.8</v>
      </c>
    </row>
    <row r="74" spans="2:13" s="20" customFormat="1" ht="19.5">
      <c r="B74" s="32" t="s">
        <v>194</v>
      </c>
      <c r="C74" s="18" t="s">
        <v>73</v>
      </c>
      <c r="D74" s="19" t="s">
        <v>22</v>
      </c>
      <c r="E74" s="61">
        <v>32.5</v>
      </c>
      <c r="F74" s="61">
        <v>19.8</v>
      </c>
      <c r="G74" s="61">
        <v>15.4</v>
      </c>
      <c r="H74" s="61">
        <v>15.2</v>
      </c>
      <c r="I74" s="61">
        <v>15.8</v>
      </c>
      <c r="J74" s="61">
        <v>15.4</v>
      </c>
      <c r="K74" s="61">
        <v>16</v>
      </c>
      <c r="L74" s="61">
        <v>15.1</v>
      </c>
      <c r="M74" s="61">
        <v>15.7</v>
      </c>
    </row>
    <row r="75" spans="2:13" s="20" customFormat="1" ht="19.5">
      <c r="B75" s="32" t="s">
        <v>195</v>
      </c>
      <c r="C75" s="18" t="s">
        <v>96</v>
      </c>
      <c r="D75" s="19" t="s">
        <v>22</v>
      </c>
      <c r="E75" s="61">
        <v>210.2</v>
      </c>
      <c r="F75" s="61">
        <v>221.6</v>
      </c>
      <c r="G75" s="61">
        <v>308.2</v>
      </c>
      <c r="H75" s="61">
        <v>254.2</v>
      </c>
      <c r="I75" s="61">
        <v>254.2</v>
      </c>
      <c r="J75" s="61">
        <v>240.2</v>
      </c>
      <c r="K75" s="61">
        <v>240.2</v>
      </c>
      <c r="L75" s="61">
        <v>240.2</v>
      </c>
      <c r="M75" s="61">
        <v>240.2</v>
      </c>
    </row>
    <row r="76" spans="2:13" s="20" customFormat="1" ht="18.75">
      <c r="B76" s="32" t="s">
        <v>226</v>
      </c>
      <c r="C76" s="22" t="s">
        <v>109</v>
      </c>
      <c r="D76" s="19" t="s">
        <v>22</v>
      </c>
      <c r="E76" s="61">
        <v>14.5</v>
      </c>
      <c r="F76" s="61">
        <v>10.3</v>
      </c>
      <c r="G76" s="61">
        <v>48.1</v>
      </c>
      <c r="H76" s="61">
        <v>48.1</v>
      </c>
      <c r="I76" s="61">
        <v>48.1</v>
      </c>
      <c r="J76" s="61">
        <v>48.1</v>
      </c>
      <c r="K76" s="61">
        <v>48.1</v>
      </c>
      <c r="L76" s="61">
        <v>48.1</v>
      </c>
      <c r="M76" s="61">
        <v>48.1</v>
      </c>
    </row>
    <row r="77" spans="2:13" s="20" customFormat="1" ht="18.75">
      <c r="B77" s="32" t="s">
        <v>227</v>
      </c>
      <c r="C77" s="22" t="s">
        <v>110</v>
      </c>
      <c r="D77" s="19" t="s">
        <v>22</v>
      </c>
      <c r="E77" s="61">
        <v>129.1</v>
      </c>
      <c r="F77" s="61">
        <v>133.3</v>
      </c>
      <c r="G77" s="61">
        <v>157.6</v>
      </c>
      <c r="H77" s="61">
        <f>G77*97.4%</f>
        <v>153.5024</v>
      </c>
      <c r="I77" s="61">
        <f>G77*97.4%</f>
        <v>153.5024</v>
      </c>
      <c r="J77" s="61">
        <f>H77*101.4%</f>
        <v>155.6514336</v>
      </c>
      <c r="K77" s="61">
        <f>I77*101.4%</f>
        <v>155.6514336</v>
      </c>
      <c r="L77" s="61">
        <v>155.7</v>
      </c>
      <c r="M77" s="61">
        <v>155.7</v>
      </c>
    </row>
    <row r="78" spans="2:13" s="20" customFormat="1" ht="18.75">
      <c r="B78" s="32" t="s">
        <v>228</v>
      </c>
      <c r="C78" s="22" t="s">
        <v>111</v>
      </c>
      <c r="D78" s="19" t="s">
        <v>22</v>
      </c>
      <c r="E78" s="61">
        <v>60.5</v>
      </c>
      <c r="F78" s="61">
        <v>59</v>
      </c>
      <c r="G78" s="61">
        <v>28.8</v>
      </c>
      <c r="H78" s="61">
        <f>G78*97.9%</f>
        <v>28.195200000000003</v>
      </c>
      <c r="I78" s="61">
        <f>G78*97.9%</f>
        <v>28.195200000000003</v>
      </c>
      <c r="J78" s="61">
        <f>H78*99%</f>
        <v>27.913248000000003</v>
      </c>
      <c r="K78" s="61">
        <f>I78*99%</f>
        <v>27.913248000000003</v>
      </c>
      <c r="L78" s="61">
        <f>J78*99%</f>
        <v>27.63411552</v>
      </c>
      <c r="M78" s="61">
        <f>K78*99%</f>
        <v>27.63411552</v>
      </c>
    </row>
    <row r="79" spans="2:13" s="20" customFormat="1" ht="37.5">
      <c r="B79" s="32" t="s">
        <v>229</v>
      </c>
      <c r="C79" s="22" t="s">
        <v>97</v>
      </c>
      <c r="D79" s="19" t="s">
        <v>22</v>
      </c>
      <c r="E79" s="61">
        <v>55.99</v>
      </c>
      <c r="F79" s="61">
        <v>12.1</v>
      </c>
      <c r="G79" s="61">
        <v>2</v>
      </c>
      <c r="H79" s="61">
        <v>2</v>
      </c>
      <c r="I79" s="61">
        <v>2</v>
      </c>
      <c r="J79" s="61">
        <v>2</v>
      </c>
      <c r="K79" s="61">
        <v>2</v>
      </c>
      <c r="L79" s="61">
        <v>2</v>
      </c>
      <c r="M79" s="61">
        <v>2</v>
      </c>
    </row>
    <row r="80" spans="2:15" s="20" customFormat="1" ht="58.5">
      <c r="B80" s="32" t="s">
        <v>196</v>
      </c>
      <c r="C80" s="23" t="s">
        <v>98</v>
      </c>
      <c r="D80" s="19" t="s">
        <v>22</v>
      </c>
      <c r="E80" s="61">
        <v>763.8</v>
      </c>
      <c r="F80" s="61">
        <v>769.2</v>
      </c>
      <c r="G80" s="61">
        <f>SUM(G81:G93)+108.2</f>
        <v>1312.8</v>
      </c>
      <c r="H80" s="61">
        <f aca="true" t="shared" si="3" ref="H80:M80">H81+H82+H83+H84+H85+H86+H87+H88+H89+H90+H91+H92</f>
        <v>916.7000000000002</v>
      </c>
      <c r="I80" s="61">
        <f t="shared" si="3"/>
        <v>925.0999999999999</v>
      </c>
      <c r="J80" s="61">
        <f t="shared" si="3"/>
        <v>945.9</v>
      </c>
      <c r="K80" s="61">
        <f t="shared" si="3"/>
        <v>958.2999999999998</v>
      </c>
      <c r="L80" s="61">
        <f t="shared" si="3"/>
        <v>993.9</v>
      </c>
      <c r="M80" s="61">
        <f t="shared" si="3"/>
        <v>1013.7</v>
      </c>
      <c r="O80" s="28"/>
    </row>
    <row r="81" spans="2:13" s="20" customFormat="1" ht="18.75">
      <c r="B81" s="32" t="s">
        <v>230</v>
      </c>
      <c r="C81" s="21" t="s">
        <v>112</v>
      </c>
      <c r="D81" s="19" t="s">
        <v>22</v>
      </c>
      <c r="E81" s="61">
        <v>99.6</v>
      </c>
      <c r="F81" s="61">
        <v>109.4</v>
      </c>
      <c r="G81" s="61">
        <v>155.7</v>
      </c>
      <c r="H81" s="61">
        <v>93.4</v>
      </c>
      <c r="I81" s="61">
        <v>93.4</v>
      </c>
      <c r="J81" s="61">
        <v>94.5</v>
      </c>
      <c r="K81" s="61">
        <v>96.1</v>
      </c>
      <c r="L81" s="61">
        <v>95.8</v>
      </c>
      <c r="M81" s="61">
        <v>101</v>
      </c>
    </row>
    <row r="82" spans="2:13" s="20" customFormat="1" ht="18.75">
      <c r="B82" s="32" t="s">
        <v>231</v>
      </c>
      <c r="C82" s="21" t="s">
        <v>113</v>
      </c>
      <c r="D82" s="19" t="s">
        <v>22</v>
      </c>
      <c r="E82" s="64">
        <v>0.627</v>
      </c>
      <c r="F82" s="64">
        <v>0.8</v>
      </c>
      <c r="G82" s="61">
        <v>0.8</v>
      </c>
      <c r="H82" s="61">
        <v>0.7</v>
      </c>
      <c r="I82" s="61">
        <v>0.7</v>
      </c>
      <c r="J82" s="61">
        <v>0.7</v>
      </c>
      <c r="K82" s="61">
        <v>0.7</v>
      </c>
      <c r="L82" s="61">
        <v>0.7</v>
      </c>
      <c r="M82" s="61">
        <v>0.7</v>
      </c>
    </row>
    <row r="83" spans="2:13" s="20" customFormat="1" ht="37.5">
      <c r="B83" s="32" t="s">
        <v>232</v>
      </c>
      <c r="C83" s="21" t="s">
        <v>114</v>
      </c>
      <c r="D83" s="19" t="s">
        <v>22</v>
      </c>
      <c r="E83" s="61">
        <v>4.85</v>
      </c>
      <c r="F83" s="61">
        <v>34.8</v>
      </c>
      <c r="G83" s="61">
        <v>41.3</v>
      </c>
      <c r="H83" s="61">
        <v>21.2</v>
      </c>
      <c r="I83" s="61">
        <v>23.3</v>
      </c>
      <c r="J83" s="61">
        <v>19.5</v>
      </c>
      <c r="K83" s="61">
        <v>20.8</v>
      </c>
      <c r="L83" s="61">
        <v>20.9</v>
      </c>
      <c r="M83" s="61">
        <v>22</v>
      </c>
    </row>
    <row r="84" spans="2:13" s="20" customFormat="1" ht="18.75">
      <c r="B84" s="32" t="s">
        <v>233</v>
      </c>
      <c r="C84" s="21" t="s">
        <v>115</v>
      </c>
      <c r="D84" s="19" t="s">
        <v>22</v>
      </c>
      <c r="E84" s="61">
        <v>112.69</v>
      </c>
      <c r="F84" s="61">
        <v>112.2</v>
      </c>
      <c r="G84" s="61">
        <v>155.2</v>
      </c>
      <c r="H84" s="61">
        <v>100.6</v>
      </c>
      <c r="I84" s="61">
        <v>104.6</v>
      </c>
      <c r="J84" s="61">
        <v>118.3</v>
      </c>
      <c r="K84" s="61">
        <v>120.6</v>
      </c>
      <c r="L84" s="61">
        <v>128.3</v>
      </c>
      <c r="M84" s="61">
        <v>126.6</v>
      </c>
    </row>
    <row r="85" spans="2:13" s="20" customFormat="1" ht="18.75">
      <c r="B85" s="32" t="s">
        <v>234</v>
      </c>
      <c r="C85" s="21" t="s">
        <v>116</v>
      </c>
      <c r="D85" s="19" t="s">
        <v>22</v>
      </c>
      <c r="E85" s="61">
        <v>154.3</v>
      </c>
      <c r="F85" s="61">
        <v>65.8</v>
      </c>
      <c r="G85" s="61">
        <v>373.5</v>
      </c>
      <c r="H85" s="61">
        <v>364.7</v>
      </c>
      <c r="I85" s="61">
        <v>382.3</v>
      </c>
      <c r="J85" s="61">
        <v>367.9</v>
      </c>
      <c r="K85" s="61">
        <v>361.6</v>
      </c>
      <c r="L85" s="61">
        <v>387.6</v>
      </c>
      <c r="M85" s="61">
        <v>395.5</v>
      </c>
    </row>
    <row r="86" spans="2:13" s="20" customFormat="1" ht="18.75">
      <c r="B86" s="32" t="s">
        <v>235</v>
      </c>
      <c r="C86" s="21" t="s">
        <v>117</v>
      </c>
      <c r="D86" s="19" t="s">
        <v>22</v>
      </c>
      <c r="E86" s="61">
        <v>0.12</v>
      </c>
      <c r="F86" s="61">
        <v>0.3</v>
      </c>
      <c r="G86" s="61">
        <v>2</v>
      </c>
      <c r="H86" s="61">
        <v>3.2</v>
      </c>
      <c r="I86" s="61">
        <v>3.5</v>
      </c>
      <c r="J86" s="61">
        <v>22.6</v>
      </c>
      <c r="K86" s="61">
        <v>25.8</v>
      </c>
      <c r="L86" s="61">
        <v>26</v>
      </c>
      <c r="M86" s="61">
        <v>27.4</v>
      </c>
    </row>
    <row r="87" spans="2:13" s="20" customFormat="1" ht="18.75">
      <c r="B87" s="32" t="s">
        <v>236</v>
      </c>
      <c r="C87" s="21" t="s">
        <v>118</v>
      </c>
      <c r="D87" s="19" t="s">
        <v>22</v>
      </c>
      <c r="E87" s="61">
        <v>227.48</v>
      </c>
      <c r="F87" s="61">
        <v>256.6</v>
      </c>
      <c r="G87" s="61">
        <v>379.5</v>
      </c>
      <c r="H87" s="61">
        <v>247.1</v>
      </c>
      <c r="I87" s="61">
        <v>228.3</v>
      </c>
      <c r="J87" s="61">
        <v>234.3</v>
      </c>
      <c r="K87" s="61">
        <v>241.3</v>
      </c>
      <c r="L87" s="61">
        <v>245.2</v>
      </c>
      <c r="M87" s="61">
        <v>249.8</v>
      </c>
    </row>
    <row r="88" spans="2:13" s="20" customFormat="1" ht="18.75">
      <c r="B88" s="32" t="s">
        <v>237</v>
      </c>
      <c r="C88" s="21" t="s">
        <v>119</v>
      </c>
      <c r="D88" s="19" t="s">
        <v>22</v>
      </c>
      <c r="E88" s="61">
        <v>54.9</v>
      </c>
      <c r="F88" s="61">
        <v>50.6</v>
      </c>
      <c r="G88" s="61">
        <v>60.7</v>
      </c>
      <c r="H88" s="61">
        <v>56.7</v>
      </c>
      <c r="I88" s="61">
        <v>58.9</v>
      </c>
      <c r="J88" s="61">
        <v>55.6</v>
      </c>
      <c r="K88" s="61">
        <v>57.8</v>
      </c>
      <c r="L88" s="61">
        <v>56.9</v>
      </c>
      <c r="M88" s="61">
        <v>57.1</v>
      </c>
    </row>
    <row r="89" spans="2:13" s="20" customFormat="1" ht="18.75">
      <c r="B89" s="32" t="s">
        <v>238</v>
      </c>
      <c r="C89" s="21" t="s">
        <v>120</v>
      </c>
      <c r="D89" s="19" t="s">
        <v>22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</row>
    <row r="90" spans="2:13" s="20" customFormat="1" ht="18.75">
      <c r="B90" s="32" t="s">
        <v>239</v>
      </c>
      <c r="C90" s="21" t="s">
        <v>121</v>
      </c>
      <c r="D90" s="19" t="s">
        <v>22</v>
      </c>
      <c r="E90" s="61">
        <v>21.4</v>
      </c>
      <c r="F90" s="61">
        <v>37.5</v>
      </c>
      <c r="G90" s="61">
        <v>30.6</v>
      </c>
      <c r="H90" s="61">
        <v>24.6</v>
      </c>
      <c r="I90" s="61">
        <v>25.6</v>
      </c>
      <c r="J90" s="61">
        <v>27.8</v>
      </c>
      <c r="K90" s="61">
        <v>28.9</v>
      </c>
      <c r="L90" s="61">
        <v>27.8</v>
      </c>
      <c r="M90" s="61">
        <v>28.9</v>
      </c>
    </row>
    <row r="91" spans="2:13" s="20" customFormat="1" ht="18.75">
      <c r="B91" s="32" t="s">
        <v>240</v>
      </c>
      <c r="C91" s="21" t="s">
        <v>122</v>
      </c>
      <c r="D91" s="19" t="s">
        <v>22</v>
      </c>
      <c r="E91" s="61">
        <v>3.8</v>
      </c>
      <c r="F91" s="61">
        <v>2.5</v>
      </c>
      <c r="G91" s="61">
        <v>5.3</v>
      </c>
      <c r="H91" s="61">
        <v>4.5</v>
      </c>
      <c r="I91" s="61">
        <v>4.5</v>
      </c>
      <c r="J91" s="61">
        <v>4.7</v>
      </c>
      <c r="K91" s="61">
        <v>4.7</v>
      </c>
      <c r="L91" s="61">
        <v>4.7</v>
      </c>
      <c r="M91" s="61">
        <v>4.7</v>
      </c>
    </row>
    <row r="92" spans="2:13" s="20" customFormat="1" ht="18.75">
      <c r="B92" s="32" t="s">
        <v>241</v>
      </c>
      <c r="C92" s="21" t="s">
        <v>123</v>
      </c>
      <c r="D92" s="19" t="s">
        <v>22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</row>
    <row r="93" spans="2:13" s="20" customFormat="1" ht="37.5">
      <c r="B93" s="32" t="s">
        <v>242</v>
      </c>
      <c r="C93" s="21" t="s">
        <v>124</v>
      </c>
      <c r="D93" s="19" t="s">
        <v>22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</row>
    <row r="94" spans="2:13" s="20" customFormat="1" ht="58.5">
      <c r="B94" s="32" t="s">
        <v>197</v>
      </c>
      <c r="C94" s="18" t="s">
        <v>74</v>
      </c>
      <c r="D94" s="19" t="s">
        <v>22</v>
      </c>
      <c r="E94" s="61">
        <f>E61-E80</f>
        <v>143.57000000000005</v>
      </c>
      <c r="F94" s="61">
        <f>F61-F80</f>
        <v>101.60999999999979</v>
      </c>
      <c r="G94" s="61">
        <f>G61-G80</f>
        <v>-500.4</v>
      </c>
      <c r="H94" s="61">
        <f aca="true" t="shared" si="4" ref="H94:M94">H61-H80</f>
        <v>0</v>
      </c>
      <c r="I94" s="61">
        <f t="shared" si="4"/>
        <v>0</v>
      </c>
      <c r="J94" s="61">
        <f t="shared" si="4"/>
        <v>0</v>
      </c>
      <c r="K94" s="61">
        <f t="shared" si="4"/>
        <v>0</v>
      </c>
      <c r="L94" s="61">
        <f t="shared" si="4"/>
        <v>0</v>
      </c>
      <c r="M94" s="61">
        <f t="shared" si="4"/>
        <v>0</v>
      </c>
    </row>
    <row r="95" spans="2:13" s="20" customFormat="1" ht="58.5">
      <c r="B95" s="32" t="s">
        <v>198</v>
      </c>
      <c r="C95" s="18" t="s">
        <v>75</v>
      </c>
      <c r="D95" s="19" t="s">
        <v>22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</row>
    <row r="96" spans="2:13" ht="18.75">
      <c r="B96" s="31" t="s">
        <v>138</v>
      </c>
      <c r="C96" s="5" t="s">
        <v>23</v>
      </c>
      <c r="D96" s="6"/>
      <c r="E96" s="15"/>
      <c r="F96" s="15"/>
      <c r="G96" s="27"/>
      <c r="H96" s="15"/>
      <c r="I96" s="16"/>
      <c r="J96" s="16"/>
      <c r="K96" s="16"/>
      <c r="L96" s="16"/>
      <c r="M96" s="16"/>
    </row>
    <row r="97" spans="2:13" s="20" customFormat="1" ht="18.75">
      <c r="B97" s="32" t="s">
        <v>150</v>
      </c>
      <c r="C97" s="21" t="s">
        <v>76</v>
      </c>
      <c r="D97" s="19" t="s">
        <v>57</v>
      </c>
      <c r="E97" s="65">
        <v>102.5</v>
      </c>
      <c r="F97" s="63">
        <v>97.9</v>
      </c>
      <c r="G97" s="65">
        <v>108.1</v>
      </c>
      <c r="H97" s="65">
        <v>102</v>
      </c>
      <c r="I97" s="65">
        <v>102.5</v>
      </c>
      <c r="J97" s="65">
        <v>102</v>
      </c>
      <c r="K97" s="65">
        <v>102.9</v>
      </c>
      <c r="L97" s="65">
        <v>102.5</v>
      </c>
      <c r="M97" s="65">
        <v>103</v>
      </c>
    </row>
    <row r="98" spans="2:13" s="20" customFormat="1" ht="56.25">
      <c r="B98" s="32" t="s">
        <v>199</v>
      </c>
      <c r="C98" s="25" t="s">
        <v>140</v>
      </c>
      <c r="D98" s="19" t="s">
        <v>77</v>
      </c>
      <c r="E98" s="66">
        <v>21797</v>
      </c>
      <c r="F98" s="67">
        <v>24268</v>
      </c>
      <c r="G98" s="66">
        <v>26388</v>
      </c>
      <c r="H98" s="66">
        <v>27444</v>
      </c>
      <c r="I98" s="66">
        <v>27444</v>
      </c>
      <c r="J98" s="66">
        <v>28542</v>
      </c>
      <c r="K98" s="66">
        <v>28542</v>
      </c>
      <c r="L98" s="66">
        <v>30805</v>
      </c>
      <c r="M98" s="66">
        <v>30805</v>
      </c>
    </row>
    <row r="99" spans="2:13" s="20" customFormat="1" ht="18.75">
      <c r="B99" s="32" t="s">
        <v>243</v>
      </c>
      <c r="C99" s="24" t="s">
        <v>125</v>
      </c>
      <c r="D99" s="19" t="s">
        <v>77</v>
      </c>
      <c r="E99" s="66">
        <v>22851</v>
      </c>
      <c r="F99" s="67">
        <v>26452</v>
      </c>
      <c r="G99" s="66">
        <v>28763</v>
      </c>
      <c r="H99" s="66">
        <v>29914</v>
      </c>
      <c r="I99" s="66">
        <v>29914</v>
      </c>
      <c r="J99" s="66">
        <v>31111</v>
      </c>
      <c r="K99" s="66">
        <v>31111</v>
      </c>
      <c r="L99" s="66">
        <v>33577</v>
      </c>
      <c r="M99" s="66">
        <v>33577</v>
      </c>
    </row>
    <row r="100" spans="2:13" s="20" customFormat="1" ht="18.75">
      <c r="B100" s="32" t="s">
        <v>244</v>
      </c>
      <c r="C100" s="24" t="s">
        <v>126</v>
      </c>
      <c r="D100" s="19" t="s">
        <v>77</v>
      </c>
      <c r="E100" s="66">
        <v>18148</v>
      </c>
      <c r="F100" s="67">
        <v>20870</v>
      </c>
      <c r="G100" s="66">
        <v>22694</v>
      </c>
      <c r="H100" s="66">
        <v>23602</v>
      </c>
      <c r="I100" s="66">
        <v>23602</v>
      </c>
      <c r="J100" s="66">
        <v>24546</v>
      </c>
      <c r="K100" s="66">
        <v>24546</v>
      </c>
      <c r="L100" s="66">
        <v>26493</v>
      </c>
      <c r="M100" s="66">
        <v>26493</v>
      </c>
    </row>
    <row r="101" spans="2:13" s="20" customFormat="1" ht="18.75">
      <c r="B101" s="32" t="s">
        <v>245</v>
      </c>
      <c r="C101" s="24" t="s">
        <v>127</v>
      </c>
      <c r="D101" s="19" t="s">
        <v>77</v>
      </c>
      <c r="E101" s="66">
        <v>23215</v>
      </c>
      <c r="F101" s="67">
        <v>25847</v>
      </c>
      <c r="G101" s="66">
        <v>28105</v>
      </c>
      <c r="H101" s="66">
        <v>29229</v>
      </c>
      <c r="I101" s="66">
        <v>29229</v>
      </c>
      <c r="J101" s="66">
        <v>30398</v>
      </c>
      <c r="K101" s="66">
        <v>30398</v>
      </c>
      <c r="L101" s="66">
        <v>31614</v>
      </c>
      <c r="M101" s="66">
        <v>31614</v>
      </c>
    </row>
    <row r="102" spans="2:17" s="20" customFormat="1" ht="56.25">
      <c r="B102" s="34" t="s">
        <v>252</v>
      </c>
      <c r="C102" s="25" t="s">
        <v>78</v>
      </c>
      <c r="D102" s="19" t="s">
        <v>14</v>
      </c>
      <c r="E102" s="66">
        <v>3.2</v>
      </c>
      <c r="F102" s="66">
        <v>3.2</v>
      </c>
      <c r="G102" s="67">
        <v>3.2</v>
      </c>
      <c r="H102" s="67">
        <v>3.1</v>
      </c>
      <c r="I102" s="67">
        <v>1.8</v>
      </c>
      <c r="J102" s="67">
        <v>2.7</v>
      </c>
      <c r="K102" s="67">
        <v>1.6</v>
      </c>
      <c r="L102" s="67">
        <v>2.3</v>
      </c>
      <c r="M102" s="67">
        <v>1.4</v>
      </c>
      <c r="Q102" s="20" t="s">
        <v>24</v>
      </c>
    </row>
    <row r="103" spans="2:13" ht="18.75">
      <c r="B103" s="31" t="s">
        <v>139</v>
      </c>
      <c r="C103" s="5" t="s">
        <v>93</v>
      </c>
      <c r="D103" s="6"/>
      <c r="E103" s="15"/>
      <c r="F103" s="15"/>
      <c r="G103" s="15"/>
      <c r="H103" s="15"/>
      <c r="I103" s="16"/>
      <c r="J103" s="16"/>
      <c r="K103" s="16"/>
      <c r="L103" s="16"/>
      <c r="M103" s="16"/>
    </row>
    <row r="104" spans="2:13" s="20" customFormat="1" ht="18.75">
      <c r="B104" s="34" t="s">
        <v>200</v>
      </c>
      <c r="C104" s="24" t="s">
        <v>79</v>
      </c>
      <c r="D104" s="19" t="s">
        <v>18</v>
      </c>
      <c r="E104" s="52">
        <v>2.349</v>
      </c>
      <c r="F104" s="52">
        <v>2.29</v>
      </c>
      <c r="G104" s="52">
        <v>2.182</v>
      </c>
      <c r="H104" s="52">
        <f>G104*93.6%</f>
        <v>2.0423519999999997</v>
      </c>
      <c r="I104" s="52">
        <f>G104*97.8%</f>
        <v>2.133996</v>
      </c>
      <c r="J104" s="52">
        <f>H104*94.5%</f>
        <v>1.9300226399999996</v>
      </c>
      <c r="K104" s="52">
        <f>I104*101.2%</f>
        <v>2.159603952</v>
      </c>
      <c r="L104" s="52">
        <f>J104*101.6%</f>
        <v>1.9609030022399996</v>
      </c>
      <c r="M104" s="52">
        <f>K104*101.3%</f>
        <v>2.1876788033759995</v>
      </c>
    </row>
    <row r="105" spans="2:13" s="20" customFormat="1" ht="37.5">
      <c r="B105" s="34" t="s">
        <v>201</v>
      </c>
      <c r="C105" s="24" t="s">
        <v>259</v>
      </c>
      <c r="D105" s="19" t="s">
        <v>55</v>
      </c>
      <c r="E105" s="52">
        <v>0.589</v>
      </c>
      <c r="F105" s="52">
        <v>0.509</v>
      </c>
      <c r="G105" s="52">
        <v>0.434</v>
      </c>
      <c r="H105" s="52">
        <f>G105*93.6%</f>
        <v>0.406224</v>
      </c>
      <c r="I105" s="52">
        <f>G105*97.8%</f>
        <v>0.424452</v>
      </c>
      <c r="J105" s="52">
        <f>H105*94.5%</f>
        <v>0.38388167999999995</v>
      </c>
      <c r="K105" s="52">
        <f>I105*101.2%</f>
        <v>0.429545424</v>
      </c>
      <c r="L105" s="52">
        <f>J105*101.6%</f>
        <v>0.39002378687999995</v>
      </c>
      <c r="M105" s="52">
        <f>K105*101.3%</f>
        <v>0.435129514512</v>
      </c>
    </row>
    <row r="106" spans="2:13" s="20" customFormat="1" ht="37.5">
      <c r="B106" s="34" t="s">
        <v>202</v>
      </c>
      <c r="C106" s="25" t="s">
        <v>80</v>
      </c>
      <c r="D106" s="19" t="s">
        <v>77</v>
      </c>
      <c r="E106" s="53">
        <v>148809.7</v>
      </c>
      <c r="F106" s="53">
        <v>124260.5</v>
      </c>
      <c r="G106" s="53">
        <v>129230.9</v>
      </c>
      <c r="H106" s="53">
        <f>G106*105.5%</f>
        <v>136338.59949999998</v>
      </c>
      <c r="I106" s="53">
        <f>G106*105.4%</f>
        <v>136209.3686</v>
      </c>
      <c r="J106" s="53">
        <f>H106*106.1%</f>
        <v>144655.25406949996</v>
      </c>
      <c r="K106" s="53">
        <f>I106*106.6%</f>
        <v>145199.18692759998</v>
      </c>
      <c r="L106" s="53">
        <f>J106*106.4%</f>
        <v>153913.19032994797</v>
      </c>
      <c r="M106" s="53">
        <f>K106*106.9%</f>
        <v>155217.93082560436</v>
      </c>
    </row>
    <row r="107" spans="2:13" s="20" customFormat="1" ht="37.5">
      <c r="B107" s="34" t="s">
        <v>203</v>
      </c>
      <c r="C107" s="25" t="s">
        <v>149</v>
      </c>
      <c r="D107" s="26" t="s">
        <v>57</v>
      </c>
      <c r="E107" s="53">
        <v>123.5</v>
      </c>
      <c r="F107" s="53">
        <v>83.2</v>
      </c>
      <c r="G107" s="53">
        <v>104</v>
      </c>
      <c r="H107" s="53">
        <v>105.5</v>
      </c>
      <c r="I107" s="53">
        <v>105.4</v>
      </c>
      <c r="J107" s="53">
        <v>106.1</v>
      </c>
      <c r="K107" s="53">
        <v>106.6</v>
      </c>
      <c r="L107" s="53">
        <v>106.4</v>
      </c>
      <c r="M107" s="53">
        <v>106.9</v>
      </c>
    </row>
    <row r="108" spans="2:13" s="20" customFormat="1" ht="18.75">
      <c r="B108" s="34" t="s">
        <v>204</v>
      </c>
      <c r="C108" s="24" t="s">
        <v>81</v>
      </c>
      <c r="D108" s="26" t="s">
        <v>57</v>
      </c>
      <c r="E108" s="53">
        <v>104.2</v>
      </c>
      <c r="F108" s="53">
        <v>98.5</v>
      </c>
      <c r="G108" s="53">
        <v>103.799138119241</v>
      </c>
      <c r="H108" s="53">
        <v>99.3839931218062</v>
      </c>
      <c r="I108" s="53">
        <v>102.292220275945</v>
      </c>
      <c r="J108" s="53">
        <v>101.923001587421</v>
      </c>
      <c r="K108" s="53">
        <v>103.076947262707</v>
      </c>
      <c r="L108" s="53">
        <v>101.923146449472</v>
      </c>
      <c r="M108" s="53">
        <v>103.173026753736</v>
      </c>
    </row>
    <row r="109" spans="2:13" s="20" customFormat="1" ht="18.75">
      <c r="B109" s="34" t="s">
        <v>205</v>
      </c>
      <c r="C109" s="24" t="s">
        <v>146</v>
      </c>
      <c r="D109" s="26" t="s">
        <v>246</v>
      </c>
      <c r="E109" s="53">
        <v>104.8</v>
      </c>
      <c r="F109" s="53">
        <v>100.7</v>
      </c>
      <c r="G109" s="53">
        <v>101.8</v>
      </c>
      <c r="H109" s="53">
        <v>103.8</v>
      </c>
      <c r="I109" s="53">
        <v>103.1</v>
      </c>
      <c r="J109" s="53">
        <v>102.6</v>
      </c>
      <c r="K109" s="53">
        <v>103</v>
      </c>
      <c r="L109" s="53">
        <v>102.5</v>
      </c>
      <c r="M109" s="53">
        <v>103</v>
      </c>
    </row>
    <row r="110" spans="2:13" s="20" customFormat="1" ht="18.75">
      <c r="B110" s="34" t="s">
        <v>206</v>
      </c>
      <c r="C110" s="24" t="s">
        <v>147</v>
      </c>
      <c r="D110" s="26" t="s">
        <v>82</v>
      </c>
      <c r="E110" s="53">
        <v>2.5</v>
      </c>
      <c r="F110" s="53">
        <v>1.6</v>
      </c>
      <c r="G110" s="53">
        <v>1.5</v>
      </c>
      <c r="H110" s="53">
        <f>H113/H104*100</f>
        <v>1.5668209985350228</v>
      </c>
      <c r="I110" s="53">
        <f>I113/I104*100</f>
        <v>1.4995342071868927</v>
      </c>
      <c r="J110" s="53">
        <f>J113/J104*100</f>
        <v>1.5543859112450622</v>
      </c>
      <c r="K110" s="53">
        <f>K113/K104*100</f>
        <v>1.3891435960846954</v>
      </c>
      <c r="L110" s="53">
        <f>L113/L104*100</f>
        <v>1.4279135667605558</v>
      </c>
      <c r="M110" s="53">
        <f>M113/M104*100</f>
        <v>1.2798953830329542</v>
      </c>
    </row>
    <row r="111" spans="2:13" s="20" customFormat="1" ht="37.5">
      <c r="B111" s="34" t="s">
        <v>207</v>
      </c>
      <c r="C111" s="25" t="s">
        <v>247</v>
      </c>
      <c r="D111" s="26" t="s">
        <v>14</v>
      </c>
      <c r="E111" s="53">
        <v>2.5</v>
      </c>
      <c r="F111" s="53">
        <v>1.6</v>
      </c>
      <c r="G111" s="53">
        <v>1.5</v>
      </c>
      <c r="H111" s="53">
        <v>1.5668209985350228</v>
      </c>
      <c r="I111" s="53">
        <v>1.4995342071868927</v>
      </c>
      <c r="J111" s="53">
        <v>1.5543859112450622</v>
      </c>
      <c r="K111" s="53">
        <v>1.3891435960846954</v>
      </c>
      <c r="L111" s="53">
        <v>1.4279135667605558</v>
      </c>
      <c r="M111" s="53">
        <v>1.2798953830329542</v>
      </c>
    </row>
    <row r="112" spans="2:13" s="20" customFormat="1" ht="37.5">
      <c r="B112" s="34" t="s">
        <v>208</v>
      </c>
      <c r="C112" s="25" t="s">
        <v>148</v>
      </c>
      <c r="D112" s="19" t="s">
        <v>249</v>
      </c>
      <c r="E112" s="52">
        <v>0.039</v>
      </c>
      <c r="F112" s="52">
        <v>0.037</v>
      </c>
      <c r="G112" s="52">
        <v>0.032</v>
      </c>
      <c r="H112" s="52">
        <v>0.032</v>
      </c>
      <c r="I112" s="52">
        <v>0.032</v>
      </c>
      <c r="J112" s="52">
        <v>0.03</v>
      </c>
      <c r="K112" s="52">
        <v>0.03</v>
      </c>
      <c r="L112" s="52">
        <v>0.028</v>
      </c>
      <c r="M112" s="52">
        <v>0.028</v>
      </c>
    </row>
    <row r="113" spans="2:13" s="20" customFormat="1" ht="56.25">
      <c r="B113" s="34" t="s">
        <v>209</v>
      </c>
      <c r="C113" s="25" t="s">
        <v>25</v>
      </c>
      <c r="D113" s="19" t="s">
        <v>31</v>
      </c>
      <c r="E113" s="52">
        <v>0.039</v>
      </c>
      <c r="F113" s="52">
        <v>0.037</v>
      </c>
      <c r="G113" s="52">
        <v>0.032</v>
      </c>
      <c r="H113" s="52">
        <v>0.032</v>
      </c>
      <c r="I113" s="52">
        <v>0.032</v>
      </c>
      <c r="J113" s="52">
        <v>0.03</v>
      </c>
      <c r="K113" s="52">
        <v>0.03</v>
      </c>
      <c r="L113" s="52">
        <v>0.028</v>
      </c>
      <c r="M113" s="52">
        <v>0.028</v>
      </c>
    </row>
    <row r="114" spans="2:13" s="20" customFormat="1" ht="18" customHeight="1">
      <c r="B114" s="34" t="s">
        <v>210</v>
      </c>
      <c r="C114" s="25" t="s">
        <v>83</v>
      </c>
      <c r="D114" s="19" t="s">
        <v>9</v>
      </c>
      <c r="E114" s="68">
        <v>4140.2</v>
      </c>
      <c r="F114" s="68">
        <v>3804.5</v>
      </c>
      <c r="G114" s="68">
        <v>4101.6</v>
      </c>
      <c r="H114" s="68">
        <f>G114*104.8%</f>
        <v>4298.4768</v>
      </c>
      <c r="I114" s="68">
        <f>G114*107%</f>
        <v>4388.712</v>
      </c>
      <c r="J114" s="68">
        <f>H114*105.6%</f>
        <v>4539.1915008000005</v>
      </c>
      <c r="K114" s="68">
        <f>I114*107.6%</f>
        <v>4722.254112</v>
      </c>
      <c r="L114" s="68">
        <f>J114*107.1%</f>
        <v>4861.4740973568005</v>
      </c>
      <c r="M114" s="68">
        <f>K114*107.9%</f>
        <v>5095.312186847999</v>
      </c>
    </row>
    <row r="115" spans="2:13" s="20" customFormat="1" ht="34.5" customHeight="1">
      <c r="B115" s="34" t="s">
        <v>251</v>
      </c>
      <c r="C115" s="25" t="s">
        <v>84</v>
      </c>
      <c r="D115" s="19" t="s">
        <v>57</v>
      </c>
      <c r="E115" s="68">
        <v>131.1</v>
      </c>
      <c r="F115" s="68">
        <v>91.9</v>
      </c>
      <c r="G115" s="68">
        <v>107.8</v>
      </c>
      <c r="H115" s="68">
        <v>104.8</v>
      </c>
      <c r="I115" s="68">
        <v>107</v>
      </c>
      <c r="J115" s="68">
        <v>105.6</v>
      </c>
      <c r="K115" s="68">
        <v>107.6</v>
      </c>
      <c r="L115" s="68">
        <v>107.1</v>
      </c>
      <c r="M115" s="68">
        <v>107.9</v>
      </c>
    </row>
    <row r="116" spans="2:4" ht="12.75">
      <c r="B116" s="13"/>
      <c r="C116" s="14"/>
      <c r="D116" s="14"/>
    </row>
    <row r="117" spans="2:3" ht="12.75">
      <c r="B117" s="40" t="s">
        <v>250</v>
      </c>
      <c r="C117" s="41"/>
    </row>
    <row r="118" spans="2:7" ht="12.75">
      <c r="B118" s="40" t="s">
        <v>248</v>
      </c>
      <c r="C118" s="41"/>
      <c r="D118" s="41"/>
      <c r="E118" s="41"/>
      <c r="F118" s="41"/>
      <c r="G118" s="41"/>
    </row>
    <row r="119" spans="2:7" ht="12.75">
      <c r="B119" s="41"/>
      <c r="C119" s="41"/>
      <c r="D119" s="41"/>
      <c r="E119" s="41"/>
      <c r="F119" s="41"/>
      <c r="G119" s="41"/>
    </row>
  </sheetData>
  <sheetProtection/>
  <mergeCells count="14">
    <mergeCell ref="B2:M2"/>
    <mergeCell ref="B4:M4"/>
    <mergeCell ref="H7:I7"/>
    <mergeCell ref="J7:K7"/>
    <mergeCell ref="L7:M7"/>
    <mergeCell ref="B6:B9"/>
    <mergeCell ref="C6:C9"/>
    <mergeCell ref="D6:D9"/>
    <mergeCell ref="E7:E9"/>
    <mergeCell ref="F7:F9"/>
    <mergeCell ref="B117:C117"/>
    <mergeCell ref="B118:G119"/>
    <mergeCell ref="H6:M6"/>
    <mergeCell ref="G7:G9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NEconom</cp:lastModifiedBy>
  <cp:lastPrinted>2023-09-29T00:34:32Z</cp:lastPrinted>
  <dcterms:created xsi:type="dcterms:W3CDTF">2013-05-25T16:45:04Z</dcterms:created>
  <dcterms:modified xsi:type="dcterms:W3CDTF">2023-09-29T05:34:36Z</dcterms:modified>
  <cp:category/>
  <cp:version/>
  <cp:contentType/>
  <cp:contentStatus/>
</cp:coreProperties>
</file>